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tabRatio="801" activeTab="0"/>
  </bookViews>
  <sheets>
    <sheet name="Order" sheetId="1" r:id="rId1"/>
    <sheet name="Listor" sheetId="2" r:id="rId2"/>
    <sheet name="Språk" sheetId="3" r:id="rId3"/>
    <sheet name="AR" sheetId="4" r:id="rId4"/>
  </sheets>
  <definedNames>
    <definedName name="Bärram">'Listor'!$A$275:$A$279</definedName>
    <definedName name="Doors">#REF!</definedName>
    <definedName name="Dörrbredd">'Listor'!$A$233:$A$256</definedName>
    <definedName name="Dörrhöjd">'Listor'!$A$259:$A$266</definedName>
    <definedName name="Dörrmaterial">'Listor'!$A$88:$A$90</definedName>
    <definedName name="Dörrtyp">'Listor'!$A$57:$A$59</definedName>
    <definedName name="Dörröppning">'Listor'!$A$408:$A$411</definedName>
    <definedName name="Fäste">'Listor'!$A$331:$A$333</definedName>
    <definedName name="Golvplåt">'Listor'!$A$7:$A$10</definedName>
    <definedName name="Hastighet">'Listor'!$A$295:$A$308</definedName>
    <definedName name="Hisstyp">#REF!</definedName>
    <definedName name="Hydraulolja">'Listor'!$A$378:$A$381</definedName>
    <definedName name="Indikatorer">'Listor'!$A$400:$A$405</definedName>
    <definedName name="Ingång">'Listor'!$A$62:$A$64</definedName>
    <definedName name="Knapp">#REF!</definedName>
    <definedName name="Korgbredd">'Listor'!$A$95:$A$140</definedName>
    <definedName name="Korgdjup">'Listor'!$A$143:$A$230</definedName>
    <definedName name="Korghöjd">'Listor'!$A$72:$A$79</definedName>
    <definedName name="Lifttype">'Listor'!$A$2:$A$4</definedName>
    <definedName name="Maskinrum">'Listor'!$A$372:$A$375</definedName>
    <definedName name="Nyckel">'Listor'!$A$414:$A$421</definedName>
    <definedName name="Nödtelefon">'Listor'!$A$424:$A$426</definedName>
    <definedName name="Order">'Listor'!$A$52:$A$54</definedName>
    <definedName name="Paneler">'Listor'!$A$82:$A$85</definedName>
    <definedName name="Planb">'Listor'!$A$317:$A$328</definedName>
    <definedName name="Produkt">'Listor'!$A$67:$A$69</definedName>
    <definedName name="RAL">'Listor'!$A$289:$A$292</definedName>
    <definedName name="Slang">'Listor'!$A$335:$A$368</definedName>
    <definedName name="Språk">'Listor'!$A$44:$A$49</definedName>
    <definedName name="spänning">'Listor'!$A$384:$A$386</definedName>
    <definedName name="Styrsystem">'Listor'!$A$395:$A$397</definedName>
    <definedName name="Tak">'Listor'!$A$19:$A$21</definedName>
    <definedName name="Tlåda">'Listor'!$A$89:$A$92</definedName>
    <definedName name="Tlådaurtag">'Listor'!$A$269:$A$272</definedName>
    <definedName name="Tröskel">'Listor'!$A$29:$A$34</definedName>
    <definedName name="Tröskel_fermator">'Listor'!$A$389:$A$392</definedName>
    <definedName name="Tröskel_plan">'Listor'!$A$29:$A$32</definedName>
    <definedName name="Tröskelleverans">'Listor'!$A$38:$A$40</definedName>
    <definedName name="_xlnm.Print_Area" localSheetId="0">'Order'!$B$1:$BD$70</definedName>
    <definedName name="Valuta">'Listor'!$A$283:$A$285</definedName>
    <definedName name="Ventil">'Listor'!$A$312:$A$314</definedName>
    <definedName name="Väggar">'Listor'!$A$13:$A$16</definedName>
    <definedName name="Yesno">'Listor'!$A$24:$A$26</definedName>
  </definedNames>
  <calcPr fullCalcOnLoad="1"/>
</workbook>
</file>

<file path=xl/sharedStrings.xml><?xml version="1.0" encoding="utf-8"?>
<sst xmlns="http://schemas.openxmlformats.org/spreadsheetml/2006/main" count="1045" uniqueCount="877">
  <si>
    <t>min</t>
  </si>
  <si>
    <t>max</t>
  </si>
  <si>
    <t>Our ref.:</t>
  </si>
  <si>
    <t>A</t>
  </si>
  <si>
    <t>€</t>
  </si>
  <si>
    <t>Valuta</t>
  </si>
  <si>
    <t>Er referens:</t>
  </si>
  <si>
    <t>Your ref.:</t>
  </si>
  <si>
    <t>Fäste</t>
  </si>
  <si>
    <t>Planb.</t>
  </si>
  <si>
    <t>Spänning</t>
  </si>
  <si>
    <t>SEK</t>
  </si>
  <si>
    <t>Rostfritt</t>
  </si>
  <si>
    <t>Dörrmaterial</t>
  </si>
  <si>
    <t>Plan</t>
  </si>
  <si>
    <t>2CO</t>
  </si>
  <si>
    <t>4CO</t>
  </si>
  <si>
    <t>6CO</t>
  </si>
  <si>
    <t>3100/S</t>
  </si>
  <si>
    <t>Språk</t>
  </si>
  <si>
    <t>GB</t>
  </si>
  <si>
    <t>SE</t>
  </si>
  <si>
    <t>IT</t>
  </si>
  <si>
    <t>DE</t>
  </si>
  <si>
    <t>FR</t>
  </si>
  <si>
    <t xml:space="preserve">Language: </t>
  </si>
  <si>
    <t>Språk:</t>
  </si>
  <si>
    <t>Ingång</t>
  </si>
  <si>
    <t>Order</t>
  </si>
  <si>
    <t>3010/S</t>
  </si>
  <si>
    <t>162x910</t>
  </si>
  <si>
    <t>Hydaulolja</t>
  </si>
  <si>
    <t>Dörrtyp</t>
  </si>
  <si>
    <t>RAL 7030</t>
  </si>
  <si>
    <t>RAL 7035</t>
  </si>
  <si>
    <t>RAL 1015</t>
  </si>
  <si>
    <t>FLH25</t>
  </si>
  <si>
    <t>Tröskel_fermator</t>
  </si>
  <si>
    <t>Korgdjup</t>
  </si>
  <si>
    <t>Dörrbredd</t>
  </si>
  <si>
    <t>Dörrhöjd</t>
  </si>
  <si>
    <t>Golvplåt</t>
  </si>
  <si>
    <t>Väggar</t>
  </si>
  <si>
    <t>Tak</t>
  </si>
  <si>
    <t>Yesno</t>
  </si>
  <si>
    <t>Tröskel</t>
  </si>
  <si>
    <t>Tröskelleverans</t>
  </si>
  <si>
    <t>Nyckel</t>
  </si>
  <si>
    <t>Vår referens:</t>
  </si>
  <si>
    <t>Hastighet</t>
  </si>
  <si>
    <t>Ventil</t>
  </si>
  <si>
    <t>Slang</t>
  </si>
  <si>
    <t>Maskinrum</t>
  </si>
  <si>
    <t>B</t>
  </si>
  <si>
    <t>Bärram</t>
  </si>
  <si>
    <t>FLH35</t>
  </si>
  <si>
    <t>FLH35C</t>
  </si>
  <si>
    <t>FLH80</t>
  </si>
  <si>
    <t>Produkt</t>
  </si>
  <si>
    <t>RAL</t>
  </si>
  <si>
    <t>Lift type</t>
  </si>
  <si>
    <t>Korghöjd</t>
  </si>
  <si>
    <t>Paneler</t>
  </si>
  <si>
    <t>Korgbredd</t>
  </si>
  <si>
    <t>Styrsystem</t>
  </si>
  <si>
    <t>Indikatorer</t>
  </si>
  <si>
    <t>Dörröppning</t>
  </si>
  <si>
    <t>162x820</t>
  </si>
  <si>
    <t>162x600</t>
  </si>
  <si>
    <t>Tlådaurtag</t>
  </si>
  <si>
    <t>Nödtelefon</t>
  </si>
  <si>
    <t>Safeline</t>
  </si>
  <si>
    <t>Reporter 2000</t>
  </si>
  <si>
    <t>Aktuellt värde</t>
  </si>
  <si>
    <t>Lingua:</t>
  </si>
  <si>
    <t>Sprache:</t>
  </si>
  <si>
    <t>Langue :</t>
  </si>
  <si>
    <t>Handlauf</t>
  </si>
  <si>
    <t>Main courante</t>
  </si>
  <si>
    <t>Türtyp</t>
  </si>
  <si>
    <t>Type de porte</t>
  </si>
  <si>
    <t>Vostro rif.:</t>
  </si>
  <si>
    <t>Ihr Zeichen:</t>
  </si>
  <si>
    <t>Votre référence :</t>
  </si>
  <si>
    <t>Nostro rif.:</t>
  </si>
  <si>
    <t>Unser Zeichen:</t>
  </si>
  <si>
    <t>Notre référence :</t>
  </si>
  <si>
    <t>Piano</t>
  </si>
  <si>
    <t>ORDER</t>
  </si>
  <si>
    <t>ORDINE</t>
  </si>
  <si>
    <t>OFFERTA</t>
  </si>
  <si>
    <t>x</t>
  </si>
  <si>
    <t>Hydroware Elevation Technology AB</t>
  </si>
  <si>
    <t>عربي</t>
  </si>
  <si>
    <t>Client :</t>
  </si>
  <si>
    <t>Kund :</t>
  </si>
  <si>
    <t>Cliente :</t>
  </si>
  <si>
    <t>Kunde :</t>
  </si>
  <si>
    <t>Objektnumber</t>
  </si>
  <si>
    <t>Objektsnummer</t>
  </si>
  <si>
    <t>الرقم</t>
  </si>
  <si>
    <t>Numero</t>
  </si>
  <si>
    <t>Numéro</t>
  </si>
  <si>
    <t>مرجعكم</t>
  </si>
  <si>
    <t>مرجعنا</t>
  </si>
  <si>
    <t>Tel:</t>
  </si>
  <si>
    <t>هاتف</t>
  </si>
  <si>
    <t>E-mail</t>
  </si>
  <si>
    <t>بريد ألكتروني</t>
  </si>
  <si>
    <t>Objekt-Nr:</t>
  </si>
  <si>
    <t xml:space="preserve">Provision </t>
  </si>
  <si>
    <t>Provvista</t>
  </si>
  <si>
    <t>Bestimmung</t>
  </si>
  <si>
    <t>Modernisation</t>
  </si>
  <si>
    <t>Modernisering</t>
  </si>
  <si>
    <t>تحديث</t>
  </si>
  <si>
    <t>modernizzazione</t>
  </si>
  <si>
    <t>Modernisierung</t>
  </si>
  <si>
    <t>modernisation</t>
  </si>
  <si>
    <t>New installation</t>
  </si>
  <si>
    <t>Nyinstallation</t>
  </si>
  <si>
    <t>مصعد جديد</t>
  </si>
  <si>
    <t>nuovo impianto</t>
  </si>
  <si>
    <t>neue Anlage</t>
  </si>
  <si>
    <t>nouvelle installation</t>
  </si>
  <si>
    <t>مصعد ركاب</t>
  </si>
  <si>
    <t>Ascensore per persone</t>
  </si>
  <si>
    <t>Personenaufzug</t>
  </si>
  <si>
    <t>Ascenseur de passagers</t>
  </si>
  <si>
    <t>مصعد بضائع</t>
  </si>
  <si>
    <t>montacarichi</t>
  </si>
  <si>
    <t>Lastenaufzug</t>
  </si>
  <si>
    <t>Marchandises ascenseur</t>
  </si>
  <si>
    <t>Bilhiss</t>
  </si>
  <si>
    <t>مصعد السيارة</t>
  </si>
  <si>
    <t>Autoaufzug</t>
  </si>
  <si>
    <t>Ascenseur de voiture</t>
  </si>
  <si>
    <t>Type of building</t>
  </si>
  <si>
    <t>Typ av byggnad</t>
  </si>
  <si>
    <t>نوع المبنى</t>
  </si>
  <si>
    <t>Tipo di edificio</t>
  </si>
  <si>
    <t>Gebäudetyp</t>
  </si>
  <si>
    <t>Type d'édifice</t>
  </si>
  <si>
    <t>Residential</t>
  </si>
  <si>
    <t>Bostäder</t>
  </si>
  <si>
    <t>سكني</t>
  </si>
  <si>
    <t>Residenziale</t>
  </si>
  <si>
    <t>Wohn</t>
  </si>
  <si>
    <t>Résidentiel</t>
  </si>
  <si>
    <t>Shopping mall</t>
  </si>
  <si>
    <t>Köpcenter</t>
  </si>
  <si>
    <t>مركز تسوق</t>
  </si>
  <si>
    <t>Einkaufszentrum</t>
  </si>
  <si>
    <t>centre commercial</t>
  </si>
  <si>
    <t>Hospital</t>
  </si>
  <si>
    <t>Sjukhus</t>
  </si>
  <si>
    <t>مستشفى</t>
  </si>
  <si>
    <t>Krankenhaus</t>
  </si>
  <si>
    <t>hôpital</t>
  </si>
  <si>
    <t>airport / train station / metro</t>
  </si>
  <si>
    <t>flygplats/ tågstation/tunnelbana</t>
  </si>
  <si>
    <t>مطار / محطة قطار / مترو</t>
  </si>
  <si>
    <t>aeroporto/Ferroviaria / metro</t>
  </si>
  <si>
    <t>Flughafen / Bahnhof / U-Bahn</t>
  </si>
  <si>
    <t>aéroport / gare ferroviaire / métro</t>
  </si>
  <si>
    <t xml:space="preserve">Other </t>
  </si>
  <si>
    <t>Annan</t>
  </si>
  <si>
    <t>آخر</t>
  </si>
  <si>
    <t xml:space="preserve">Altro </t>
  </si>
  <si>
    <t xml:space="preserve">andere </t>
  </si>
  <si>
    <t xml:space="preserve">Autre </t>
  </si>
  <si>
    <t>أختيار أللغة</t>
  </si>
  <si>
    <t>General Data</t>
  </si>
  <si>
    <t>Allmänna Data</t>
  </si>
  <si>
    <t>معلومات عامة</t>
  </si>
  <si>
    <t>Informazioni Generali</t>
  </si>
  <si>
    <t>Allgemeine Angaben</t>
  </si>
  <si>
    <t>Informations générales</t>
  </si>
  <si>
    <t>QUOTE</t>
  </si>
  <si>
    <t>OFFERT</t>
  </si>
  <si>
    <t>عرض سعر</t>
  </si>
  <si>
    <t>ANGEBOT</t>
  </si>
  <si>
    <t>DEVIS</t>
  </si>
  <si>
    <t>طلب</t>
  </si>
  <si>
    <t>AUFTRAG</t>
  </si>
  <si>
    <t>COMMANDE</t>
  </si>
  <si>
    <t>Centro commerciale</t>
  </si>
  <si>
    <t>Ospedale</t>
  </si>
  <si>
    <t xml:space="preserve"> SHAFT INFORMATION</t>
  </si>
  <si>
    <t>SCHAKT INFORMATION</t>
  </si>
  <si>
    <t>Caratteristiche vano</t>
  </si>
  <si>
    <t>SCHACHTANGABEN</t>
  </si>
  <si>
    <t>Carractéristiques gaine</t>
  </si>
  <si>
    <t>مواصفات بئر المصعد</t>
  </si>
  <si>
    <t>ملم</t>
  </si>
  <si>
    <t>www.hydroware.com</t>
  </si>
  <si>
    <t>mm.</t>
  </si>
  <si>
    <t>Head room</t>
  </si>
  <si>
    <t>Topp</t>
  </si>
  <si>
    <t>رأس ألبئر:</t>
  </si>
  <si>
    <t>Testata</t>
  </si>
  <si>
    <t>Schachtkopf</t>
  </si>
  <si>
    <t>H.D.N.</t>
  </si>
  <si>
    <t>Distance</t>
  </si>
  <si>
    <t>Avstånd</t>
  </si>
  <si>
    <t>مسافة</t>
  </si>
  <si>
    <t>Distanza</t>
  </si>
  <si>
    <t>Abstand</t>
  </si>
  <si>
    <t>Travel</t>
  </si>
  <si>
    <t>Lyfthöjd</t>
  </si>
  <si>
    <t>مشوار الصاعدة :</t>
  </si>
  <si>
    <t>Corsa</t>
  </si>
  <si>
    <t>Förderhöhe</t>
  </si>
  <si>
    <t>Course</t>
  </si>
  <si>
    <t>Pit</t>
  </si>
  <si>
    <t>Grop</t>
  </si>
  <si>
    <t>Fossa</t>
  </si>
  <si>
    <t>Schachtgrube</t>
  </si>
  <si>
    <t>Fosse</t>
  </si>
  <si>
    <t>Shaft height</t>
  </si>
  <si>
    <t>Schakthöjd</t>
  </si>
  <si>
    <t>إرتفاع ألبئر</t>
  </si>
  <si>
    <t>Altezza vano</t>
  </si>
  <si>
    <t>Schachtlänge</t>
  </si>
  <si>
    <t>Hauteur gaine</t>
  </si>
  <si>
    <t>Shaft width</t>
  </si>
  <si>
    <t>Schaktbredd</t>
  </si>
  <si>
    <t>عرض ألبئر :</t>
  </si>
  <si>
    <t>Larghezza Vano</t>
  </si>
  <si>
    <t>Schachtbreite</t>
  </si>
  <si>
    <t>Largeur gaine</t>
  </si>
  <si>
    <t>Shaft depth</t>
  </si>
  <si>
    <t>Schaktdjup</t>
  </si>
  <si>
    <t>Profondità Vano</t>
  </si>
  <si>
    <t>Schachttiefe</t>
  </si>
  <si>
    <t>Profondeur gaine</t>
  </si>
  <si>
    <t>Entrence/-s</t>
  </si>
  <si>
    <t>Ingång-/ar</t>
  </si>
  <si>
    <t>عدد المداخل للصاعدة:</t>
  </si>
  <si>
    <t>Ingresso /i</t>
  </si>
  <si>
    <t>Zugänge</t>
  </si>
  <si>
    <t>Accès</t>
  </si>
  <si>
    <t>Nº floors</t>
  </si>
  <si>
    <t>Antal plan</t>
  </si>
  <si>
    <t>N° Piani</t>
  </si>
  <si>
    <t>Haltestellen</t>
  </si>
  <si>
    <t>Nbr Niveaux</t>
  </si>
  <si>
    <t>Nº doors</t>
  </si>
  <si>
    <t>Antal dörrar</t>
  </si>
  <si>
    <t>N° Porte</t>
  </si>
  <si>
    <t>Ladestellen</t>
  </si>
  <si>
    <t>Nbr Portes</t>
  </si>
  <si>
    <t>Lift system:</t>
  </si>
  <si>
    <t>Sistema ascensore:</t>
  </si>
  <si>
    <t>نظام الرفع</t>
  </si>
  <si>
    <t>حفرة:</t>
  </si>
  <si>
    <t>عمق ألبئر :</t>
  </si>
  <si>
    <t>عدد الطوابق :</t>
  </si>
  <si>
    <t>عدد الأبواب :</t>
  </si>
  <si>
    <t>Système d'ascenseur</t>
  </si>
  <si>
    <t>Lift-System</t>
  </si>
  <si>
    <t>Lyft systemet</t>
  </si>
  <si>
    <t>direct (1:1)</t>
  </si>
  <si>
    <t>direkt (1:1)</t>
  </si>
  <si>
    <t>indirect (2:1)</t>
  </si>
  <si>
    <t>linhydraul (2:1)</t>
  </si>
  <si>
    <t>diretto (1:1)</t>
  </si>
  <si>
    <t>taglia (2:1)</t>
  </si>
  <si>
    <t>indirekt (2:1)</t>
  </si>
  <si>
    <t>دفع مباشر (1:1)</t>
  </si>
  <si>
    <t>دفع غير مباشر (2:1)</t>
  </si>
  <si>
    <t>Hydroelite Veni</t>
  </si>
  <si>
    <t>Hydroelite Vidi</t>
  </si>
  <si>
    <t>Acc. to directives</t>
  </si>
  <si>
    <t>Enligt direktiv</t>
  </si>
  <si>
    <t>Conforme alle direttive</t>
  </si>
  <si>
    <t>nach Normen</t>
  </si>
  <si>
    <t>Conforme à la Directive</t>
  </si>
  <si>
    <t>95/16.EN81.28</t>
  </si>
  <si>
    <t>EN81.70</t>
  </si>
  <si>
    <t>Hydraulic data</t>
  </si>
  <si>
    <t>Hydraulikdata</t>
  </si>
  <si>
    <t>Dati Oleodinamica</t>
  </si>
  <si>
    <t>Hydraulikdaten</t>
  </si>
  <si>
    <t xml:space="preserve"> ألبيانات الهيدروليكية</t>
  </si>
  <si>
    <t>Rated load:</t>
  </si>
  <si>
    <t>Märklast:</t>
  </si>
  <si>
    <t>Portata nominale:</t>
  </si>
  <si>
    <t>Nutzlast</t>
  </si>
  <si>
    <t>charge nominale</t>
  </si>
  <si>
    <t>ألسرعة</t>
  </si>
  <si>
    <t>Distance between shaft and MR</t>
  </si>
  <si>
    <t>ألمسافة بين ألبئر و غرفة ألماكينة</t>
  </si>
  <si>
    <t>Abstand zum Maschinenraum</t>
  </si>
  <si>
    <t>Distance entre gaine et machinerie</t>
  </si>
  <si>
    <t>Avstånd mellan schakt och MR</t>
  </si>
  <si>
    <t>Distanza tra vano e locale Macchina</t>
  </si>
  <si>
    <t>m/s</t>
  </si>
  <si>
    <t>Rated speed:</t>
  </si>
  <si>
    <t>Märkhastighet:</t>
  </si>
  <si>
    <t>Velocità nominale:</t>
  </si>
  <si>
    <t>Nenngeschwindigkeit:</t>
  </si>
  <si>
    <t>Vitesse nominale</t>
  </si>
  <si>
    <t>Kg.</t>
  </si>
  <si>
    <t>Données hydrauliques</t>
  </si>
  <si>
    <t>m.</t>
  </si>
  <si>
    <t>Supply voltage:</t>
  </si>
  <si>
    <t>Spänning, matning:</t>
  </si>
  <si>
    <t>Tensione di alimentazione:</t>
  </si>
  <si>
    <t>Spannungsversorgung:</t>
  </si>
  <si>
    <t>Tension d'alimentation:</t>
  </si>
  <si>
    <t>التيار الكهربائي (محرك)</t>
  </si>
  <si>
    <t xml:space="preserve">Motor room                        </t>
  </si>
  <si>
    <t>Maskinrumsplacering</t>
  </si>
  <si>
    <t>Locale macchine</t>
  </si>
  <si>
    <t>Maschinenraum</t>
  </si>
  <si>
    <t>Floor</t>
  </si>
  <si>
    <t>Etage</t>
  </si>
  <si>
    <t>Salle de moteur</t>
  </si>
  <si>
    <t>étage</t>
  </si>
  <si>
    <t>طابق</t>
  </si>
  <si>
    <t>OPTIONS</t>
  </si>
  <si>
    <t>TILLVAL</t>
  </si>
  <si>
    <t>أختياري</t>
  </si>
  <si>
    <t>OPZIONI</t>
  </si>
  <si>
    <t>OPTIONEN</t>
  </si>
  <si>
    <t>mm</t>
  </si>
  <si>
    <t>Tank Heater w. thermostat</t>
  </si>
  <si>
    <t>Tankvärmare inkl termostat</t>
  </si>
  <si>
    <t>Oil level switch</t>
  </si>
  <si>
    <t>Elektrisk oljenivåvakt</t>
  </si>
  <si>
    <t>External oil level indicator</t>
  </si>
  <si>
    <t>Visuell oljenivågivare</t>
  </si>
  <si>
    <t>Connection for oil cooler</t>
  </si>
  <si>
    <t>Anslutning oljekylare</t>
  </si>
  <si>
    <t>Thermostat for oilcooler</t>
  </si>
  <si>
    <t>Termostat för oljekylare</t>
  </si>
  <si>
    <t>Resist.risc. olio+ termostato</t>
  </si>
  <si>
    <t>Ölheizer</t>
  </si>
  <si>
    <t>Interruttore controllo livello olio</t>
  </si>
  <si>
    <t>Elektrischer Ölstandschalter</t>
  </si>
  <si>
    <t>Indicatore esterno del livello olio</t>
  </si>
  <si>
    <t>Externer Ölstandanzeiger</t>
  </si>
  <si>
    <t>Predisposizione gruppo raffreddamento</t>
  </si>
  <si>
    <t>Anschluss für Ölkühler</t>
  </si>
  <si>
    <t>Termostato per gruppo raffrddamento</t>
  </si>
  <si>
    <t>Thermostat für Ölkühler</t>
  </si>
  <si>
    <t>سخّان ألزيت مع ترموستات</t>
  </si>
  <si>
    <t>مؤشر مستوى الزيت - الكتروني</t>
  </si>
  <si>
    <t>مؤشر مستوى الزيت - مرئي</t>
  </si>
  <si>
    <t>مهيأ لتركيب مبرد ألزيت</t>
  </si>
  <si>
    <t>ترموستات لتبريد ألزيت</t>
  </si>
  <si>
    <t>Hydraulic oil:</t>
  </si>
  <si>
    <t>Hydraulolja:</t>
  </si>
  <si>
    <t>pcs, 20 l can</t>
  </si>
  <si>
    <t>st, 20 l dunk</t>
  </si>
  <si>
    <t>Fluido idraulico:</t>
  </si>
  <si>
    <t>Hydraulik-Öl:</t>
  </si>
  <si>
    <t>St, 20 l Kanister</t>
  </si>
  <si>
    <t>زيت هيدووليك</t>
  </si>
  <si>
    <t>وحدة 20 ل / جالون</t>
  </si>
  <si>
    <t>LSF Cables</t>
  </si>
  <si>
    <t>Halogenfritt kablage</t>
  </si>
  <si>
    <t>كابلات خالية من الهالوجين</t>
  </si>
  <si>
    <t>Cavi LSF</t>
  </si>
  <si>
    <t>Halogenfreie Kabel im Schacht</t>
  </si>
  <si>
    <t xml:space="preserve"> Separat elskåp</t>
  </si>
  <si>
    <t>Separater Schaltschrank</t>
  </si>
  <si>
    <t>Separate control cabinet</t>
  </si>
  <si>
    <t xml:space="preserve"> Quadro manovra separato</t>
  </si>
  <si>
    <t>مكان غرفة الماكينة</t>
  </si>
  <si>
    <t>Larmtelefon Safeline SL6 PSTN</t>
  </si>
  <si>
    <t xml:space="preserve">Larmtelefon Safeline SL6 GSM </t>
  </si>
  <si>
    <t>Telefono intercom Safeline</t>
  </si>
  <si>
    <t xml:space="preserve">Notruftelefon Safeline SL6 PSTN </t>
  </si>
  <si>
    <t>Notruftelefon Safeline SL6 GSM</t>
  </si>
  <si>
    <t xml:space="preserve">Safeline Gegensprechanlage </t>
  </si>
  <si>
    <t>Larmtelefon Safeline SL6 GSM</t>
  </si>
  <si>
    <t>Safeline intercom</t>
  </si>
  <si>
    <t>Alarm telephone Safeline SL6 PSTN</t>
  </si>
  <si>
    <t>Alarm telephone Safeline SL6 GSM</t>
  </si>
  <si>
    <t>Pz. 20 litri/contenitore</t>
  </si>
  <si>
    <t>ELECTRIC CONTROLER</t>
  </si>
  <si>
    <t>ELSTYRNING</t>
  </si>
  <si>
    <t>STEUERUNG</t>
  </si>
  <si>
    <t>Manovra</t>
  </si>
  <si>
    <t>Direct UPB</t>
  </si>
  <si>
    <t>Nedkollektiv</t>
  </si>
  <si>
    <t>Collettiva discesa</t>
  </si>
  <si>
    <t>abwärts sammelnd</t>
  </si>
  <si>
    <t>Collective desc.</t>
  </si>
  <si>
    <t>Full collective</t>
  </si>
  <si>
    <t>Fullkollektiv</t>
  </si>
  <si>
    <t>Collettiva salita/discesa</t>
  </si>
  <si>
    <t>auf-/abwärtssammelnd</t>
  </si>
  <si>
    <t>Collective complète</t>
  </si>
  <si>
    <t>Indication- Main floor</t>
  </si>
  <si>
    <t>Indikering- Huvudplan</t>
  </si>
  <si>
    <t>Indicatori - piano principale</t>
  </si>
  <si>
    <t>Anzeigen in Haupthaltestelle</t>
  </si>
  <si>
    <t>Affichage -Niveau principal</t>
  </si>
  <si>
    <t>Indication- other floors</t>
  </si>
  <si>
    <t>Indikering- Övriga plan</t>
  </si>
  <si>
    <t>Indicatori - altri piani</t>
  </si>
  <si>
    <t>Anzeigen in allen Haltestellen</t>
  </si>
  <si>
    <t>Affichage -Tous Niveaux</t>
  </si>
  <si>
    <t>Arrows (std)</t>
  </si>
  <si>
    <t>Pilar (std)</t>
  </si>
  <si>
    <t>أسهم</t>
  </si>
  <si>
    <t>Frecce(Std)</t>
  </si>
  <si>
    <t>Richtungspfeile</t>
  </si>
  <si>
    <t>Flèches (Std)</t>
  </si>
  <si>
    <t>Display</t>
  </si>
  <si>
    <t>Våningsvisare</t>
  </si>
  <si>
    <t>Arrows+Display</t>
  </si>
  <si>
    <t>Pilar+Våningsvisare</t>
  </si>
  <si>
    <t>Frecce+ Display</t>
  </si>
  <si>
    <t>Pfeile + Display</t>
  </si>
  <si>
    <t>Flèches+Display</t>
  </si>
  <si>
    <t>Door closing button</t>
  </si>
  <si>
    <t>Stängningsknapp</t>
  </si>
  <si>
    <t>زر اغلاق ألباب</t>
  </si>
  <si>
    <t>Pulsante chiusura porte</t>
  </si>
  <si>
    <t>Drücker Tür schließen</t>
  </si>
  <si>
    <t>Bouton fermeture porte</t>
  </si>
  <si>
    <t>Timer (car light)</t>
  </si>
  <si>
    <t>Timer (korgbelysning)</t>
  </si>
  <si>
    <t>Luce temporizzata</t>
  </si>
  <si>
    <t>Kabinenlichtabschaltung</t>
  </si>
  <si>
    <t>Temporisation éclairage cabine</t>
  </si>
  <si>
    <t>Car preference key</t>
  </si>
  <si>
    <t>Städnyckel</t>
  </si>
  <si>
    <t>Schlüsselschalter Vorzugsfahrt</t>
  </si>
  <si>
    <t>Clé Liftier Cabine</t>
  </si>
  <si>
    <t>Priority call (hospitals)</t>
  </si>
  <si>
    <t>Prioritetsanrop (sjukhus)</t>
  </si>
  <si>
    <t>Vorzugsruf (Hospitals)</t>
  </si>
  <si>
    <t>Appels prioritaires (hôpitaux)</t>
  </si>
  <si>
    <t>AUTOMATIC DOORS</t>
  </si>
  <si>
    <t>AUTOMAT DÖRRAR</t>
  </si>
  <si>
    <t>أبواب أوتوماتيكية</t>
  </si>
  <si>
    <t>PORTE AUTOMATICHE</t>
  </si>
  <si>
    <t>TÜREN</t>
  </si>
  <si>
    <t>PORTE AUTOMATIQUE</t>
  </si>
  <si>
    <t>Language 1</t>
  </si>
  <si>
    <t>Type of door</t>
  </si>
  <si>
    <t>Typ av dörr</t>
  </si>
  <si>
    <t>نوع الباب</t>
  </si>
  <si>
    <t>Tipo porta</t>
  </si>
  <si>
    <t xml:space="preserve">Door width </t>
  </si>
  <si>
    <t xml:space="preserve">Dörr bredd </t>
  </si>
  <si>
    <t>عرض الباب</t>
  </si>
  <si>
    <t>Apertura porte</t>
  </si>
  <si>
    <t xml:space="preserve">Türbreite </t>
  </si>
  <si>
    <t>PL porte</t>
  </si>
  <si>
    <t xml:space="preserve">Door height </t>
  </si>
  <si>
    <t xml:space="preserve">Dörrhöjd </t>
  </si>
  <si>
    <t>ارتفاع الباب</t>
  </si>
  <si>
    <t>Altezza porte</t>
  </si>
  <si>
    <t xml:space="preserve">Türhöhe </t>
  </si>
  <si>
    <t>HL porte</t>
  </si>
  <si>
    <t>Other (code):</t>
  </si>
  <si>
    <t>Annan(kod):</t>
  </si>
  <si>
    <t>Altro (cod):</t>
  </si>
  <si>
    <t>andere (Code):</t>
  </si>
  <si>
    <t>Autre (code):</t>
  </si>
  <si>
    <t>C4</t>
  </si>
  <si>
    <t>C2</t>
  </si>
  <si>
    <t>Car door/-s</t>
  </si>
  <si>
    <t>Korgdörr/-ar</t>
  </si>
  <si>
    <t>باب الصاعدة</t>
  </si>
  <si>
    <t>Porta/e cabina</t>
  </si>
  <si>
    <t>Kabinentüren</t>
  </si>
  <si>
    <t>Porte(s) cabine</t>
  </si>
  <si>
    <t>Landing doors</t>
  </si>
  <si>
    <t>Schaktdörrar</t>
  </si>
  <si>
    <t>أبواب الطوابق</t>
  </si>
  <si>
    <t>Porta di piano</t>
  </si>
  <si>
    <t>Schachttüren</t>
  </si>
  <si>
    <t>Portes palières</t>
  </si>
  <si>
    <t xml:space="preserve">Landing door -Brand </t>
  </si>
  <si>
    <t xml:space="preserve">Schaktdörr- Fabrikat </t>
  </si>
  <si>
    <t>ماركة أبواب الطوابق</t>
  </si>
  <si>
    <t>Porte di piano - fornitore</t>
  </si>
  <si>
    <t>Schachtür Modell</t>
  </si>
  <si>
    <t>Portes palières - fournisseur</t>
  </si>
  <si>
    <t>Landing door -Type</t>
  </si>
  <si>
    <t>Schaktdörr- Typ</t>
  </si>
  <si>
    <t xml:space="preserve"> نوع أبواب الطوابق</t>
  </si>
  <si>
    <t>Porte di piano - tipo</t>
  </si>
  <si>
    <t>Schachttür Typ</t>
  </si>
  <si>
    <t>Portes palières - type</t>
  </si>
  <si>
    <t>Landing door finish</t>
  </si>
  <si>
    <t>Schaktdörr finish</t>
  </si>
  <si>
    <t>Finitura porta di piano</t>
  </si>
  <si>
    <t>Finish Schachttür</t>
  </si>
  <si>
    <t>Finition portes palières</t>
  </si>
  <si>
    <t>Fire rating</t>
  </si>
  <si>
    <t>Brandklassning</t>
  </si>
  <si>
    <t>Parafiamma</t>
  </si>
  <si>
    <t>feuerbeständig</t>
  </si>
  <si>
    <t>Pareflamme</t>
  </si>
  <si>
    <t>Side covers</t>
  </si>
  <si>
    <t>Täcklister</t>
  </si>
  <si>
    <t>Calfeutremements</t>
  </si>
  <si>
    <t>Car door finish</t>
  </si>
  <si>
    <t>Korgdörr finish</t>
  </si>
  <si>
    <t>Finiture porta cabina</t>
  </si>
  <si>
    <t>Finish Kabinentür</t>
  </si>
  <si>
    <t>Finition porte cabine</t>
  </si>
  <si>
    <t>Photocell</t>
  </si>
  <si>
    <t>Fotocell</t>
  </si>
  <si>
    <t>Fotocellula</t>
  </si>
  <si>
    <t>Fotozelle</t>
  </si>
  <si>
    <t>Photocellule</t>
  </si>
  <si>
    <t>Select door brand</t>
  </si>
  <si>
    <t>Välj dörrfabrikat</t>
  </si>
  <si>
    <t>اختيار ماركة الباب</t>
  </si>
  <si>
    <t>Selezionare fornitore porte</t>
  </si>
  <si>
    <t>Türmodell wählen</t>
  </si>
  <si>
    <t>Sélectionner fournisseur porte</t>
  </si>
  <si>
    <t>CAR/ CABIN</t>
  </si>
  <si>
    <t>KORG</t>
  </si>
  <si>
    <t>الصاعدة / الكبينة</t>
  </si>
  <si>
    <t>CABINA</t>
  </si>
  <si>
    <t>KABINE</t>
  </si>
  <si>
    <t>Cabine</t>
  </si>
  <si>
    <t>Car size</t>
  </si>
  <si>
    <t>Korgstorlek</t>
  </si>
  <si>
    <t>Dimensioni cabina</t>
  </si>
  <si>
    <t>Kabinengröße</t>
  </si>
  <si>
    <t>Dimensions cabine</t>
  </si>
  <si>
    <t xml:space="preserve">جدران الصاعدة </t>
  </si>
  <si>
    <t>Mirror</t>
  </si>
  <si>
    <t>Spegel</t>
  </si>
  <si>
    <t>مرآة</t>
  </si>
  <si>
    <t>Specchio</t>
  </si>
  <si>
    <t>Spiegel</t>
  </si>
  <si>
    <t>Miroir</t>
  </si>
  <si>
    <t>Glass wall</t>
  </si>
  <si>
    <t>Glasvägg</t>
  </si>
  <si>
    <t>جدار زجاجي</t>
  </si>
  <si>
    <t>Pareti in vetro</t>
  </si>
  <si>
    <t>Glaswand</t>
  </si>
  <si>
    <t>Paroi en verre</t>
  </si>
  <si>
    <t>Handrail</t>
  </si>
  <si>
    <t>Handledare</t>
  </si>
  <si>
    <t>Corrimano</t>
  </si>
  <si>
    <t>Golv</t>
  </si>
  <si>
    <t xml:space="preserve"> اختيار أرضية الصاعدة</t>
  </si>
  <si>
    <t>Selezionare Pavimento</t>
  </si>
  <si>
    <t>Boden</t>
  </si>
  <si>
    <t>Plancher</t>
  </si>
  <si>
    <t>Tip up seat</t>
  </si>
  <si>
    <t>Fällsits</t>
  </si>
  <si>
    <t>Sedile ribaltabile</t>
  </si>
  <si>
    <t>Klappsitz</t>
  </si>
  <si>
    <t>Siège rabatable</t>
  </si>
  <si>
    <t>Embedded</t>
  </si>
  <si>
    <t>Infälld</t>
  </si>
  <si>
    <t>Incassato</t>
  </si>
  <si>
    <t>Integriert</t>
  </si>
  <si>
    <t>Incorporé</t>
  </si>
  <si>
    <t>Color/ Code:</t>
  </si>
  <si>
    <t>Färg/ KOD:</t>
  </si>
  <si>
    <t>Colore/ COD:</t>
  </si>
  <si>
    <t>Farbcode:</t>
  </si>
  <si>
    <t>Couleur/ Code:</t>
  </si>
  <si>
    <t>Standard</t>
  </si>
  <si>
    <t>Ljusridå</t>
  </si>
  <si>
    <t>حاجز الكتروني</t>
  </si>
  <si>
    <t>Barriera elettronica</t>
  </si>
  <si>
    <t>Lichtgitter</t>
  </si>
  <si>
    <t>Barrière électronique</t>
  </si>
  <si>
    <t>Frame (standard)</t>
  </si>
  <si>
    <t>Karm (standard)</t>
  </si>
  <si>
    <t>Telaio standard</t>
  </si>
  <si>
    <t>Tragrahmen (Std.)</t>
  </si>
  <si>
    <t>Cadre standard</t>
  </si>
  <si>
    <t>Facade Std.</t>
  </si>
  <si>
    <t>Front, Std.</t>
  </si>
  <si>
    <t>Facciata Std.</t>
  </si>
  <si>
    <t>Fassade Std.</t>
  </si>
  <si>
    <t>Façade std.</t>
  </si>
  <si>
    <t>Full Facade W x H</t>
  </si>
  <si>
    <t>FullFront, B x H</t>
  </si>
  <si>
    <t>Tutta facciata L x H</t>
  </si>
  <si>
    <t>Vollfassade WxH</t>
  </si>
  <si>
    <t>Pleine façade L x H</t>
  </si>
  <si>
    <t>Light curtain</t>
  </si>
  <si>
    <t>Sematic</t>
  </si>
  <si>
    <t>Wittur</t>
  </si>
  <si>
    <t xml:space="preserve">Inox Satin </t>
  </si>
  <si>
    <t>Skin plate</t>
  </si>
  <si>
    <t>YES</t>
  </si>
  <si>
    <t>JA</t>
  </si>
  <si>
    <t>SI</t>
  </si>
  <si>
    <t>OUI</t>
  </si>
  <si>
    <t>NO</t>
  </si>
  <si>
    <t>NEJ</t>
  </si>
  <si>
    <t>NEIN</t>
  </si>
  <si>
    <t>NON</t>
  </si>
  <si>
    <t>E-120</t>
  </si>
  <si>
    <t>EI-60</t>
  </si>
  <si>
    <t>EI-120</t>
  </si>
  <si>
    <t>Laminate</t>
  </si>
  <si>
    <t>Laminato</t>
  </si>
  <si>
    <t>Laminat</t>
  </si>
  <si>
    <t>Laminé plastique</t>
  </si>
  <si>
    <t>Skinplate</t>
  </si>
  <si>
    <t>ST/ST   Satin</t>
  </si>
  <si>
    <t>Rostfritt- Satin</t>
  </si>
  <si>
    <t>Inox Satin</t>
  </si>
  <si>
    <t>V2A / V2A  Satin</t>
  </si>
  <si>
    <t>Back wall</t>
  </si>
  <si>
    <t>Bakvägg</t>
  </si>
  <si>
    <t>الجدار الخلفي</t>
  </si>
  <si>
    <t>Parete posteriore</t>
  </si>
  <si>
    <t>Rückwand</t>
  </si>
  <si>
    <t>Paroi postérieure</t>
  </si>
  <si>
    <t>Opposite COP</t>
  </si>
  <si>
    <t>Sidovägg (motsatt COP)</t>
  </si>
  <si>
    <t>الجدار الجانبي مقابل لوحة الازرار</t>
  </si>
  <si>
    <t>Fronte bottoniera</t>
  </si>
  <si>
    <t>gegenüber Tableauseite</t>
  </si>
  <si>
    <t>Paroi opposée BàB</t>
  </si>
  <si>
    <t>Side wall - COP side</t>
  </si>
  <si>
    <t>Sidovägg - COP sida</t>
  </si>
  <si>
    <t>الجدار الجانبي جنب لوحة الازرار</t>
  </si>
  <si>
    <t xml:space="preserve">Laterale lato bottoniera </t>
  </si>
  <si>
    <t>seitlich - tableauseits</t>
  </si>
  <si>
    <t xml:space="preserve">Côté BàB </t>
  </si>
  <si>
    <t>PVC</t>
  </si>
  <si>
    <t xml:space="preserve">PVC </t>
  </si>
  <si>
    <t>Rubber</t>
  </si>
  <si>
    <t>Gummi</t>
  </si>
  <si>
    <t>مطاط</t>
  </si>
  <si>
    <t>Car light:</t>
  </si>
  <si>
    <t>Belysning:</t>
  </si>
  <si>
    <t>الإضاءة</t>
  </si>
  <si>
    <t>Illuminazione cabina</t>
  </si>
  <si>
    <t>Kabinenlicht:</t>
  </si>
  <si>
    <t>Eclairage cabine</t>
  </si>
  <si>
    <t>Spot lights</t>
  </si>
  <si>
    <t>Spotlights</t>
  </si>
  <si>
    <t>أضواء كاشفة</t>
  </si>
  <si>
    <t>Faretti led</t>
  </si>
  <si>
    <t>Spots</t>
  </si>
  <si>
    <t>Light roof</t>
  </si>
  <si>
    <t>Ljustak</t>
  </si>
  <si>
    <t>Leuchtdecke</t>
  </si>
  <si>
    <t>Faux plafond</t>
  </si>
  <si>
    <t>Bumper bands</t>
  </si>
  <si>
    <t>Paracolpi</t>
  </si>
  <si>
    <t>Rammschutzleisten</t>
  </si>
  <si>
    <t>Lisses protection</t>
  </si>
  <si>
    <t>1 row</t>
  </si>
  <si>
    <t>1 rad</t>
  </si>
  <si>
    <t>1 riga</t>
  </si>
  <si>
    <t>1 Reihe</t>
  </si>
  <si>
    <t>1 rangée</t>
  </si>
  <si>
    <t>2- rows</t>
  </si>
  <si>
    <t>2 rader</t>
  </si>
  <si>
    <t>2 Reihen</t>
  </si>
  <si>
    <t>2 rangées</t>
  </si>
  <si>
    <t>3 rows</t>
  </si>
  <si>
    <t>3 rader</t>
  </si>
  <si>
    <t>3 righe</t>
  </si>
  <si>
    <t>3 Reihen</t>
  </si>
  <si>
    <t>3 rangées</t>
  </si>
  <si>
    <t>Wood</t>
  </si>
  <si>
    <t>Trä</t>
  </si>
  <si>
    <t>خشب</t>
  </si>
  <si>
    <t>Legano</t>
  </si>
  <si>
    <t>Holz</t>
  </si>
  <si>
    <t>Bois</t>
  </si>
  <si>
    <t xml:space="preserve">ستانلس </t>
  </si>
  <si>
    <t>Inox</t>
  </si>
  <si>
    <t>½</t>
  </si>
  <si>
    <t>1/1</t>
  </si>
  <si>
    <t>Contocielino</t>
  </si>
  <si>
    <t>Inox ST/ST</t>
  </si>
  <si>
    <t>EXTRA</t>
  </si>
  <si>
    <t>أضافة</t>
  </si>
  <si>
    <t>م/ث</t>
  </si>
  <si>
    <t>كلغ</t>
  </si>
  <si>
    <t>فولت</t>
  </si>
  <si>
    <t xml:space="preserve">٤٠٠/ ٢٣٠ </t>
  </si>
  <si>
    <t>٦٩٠/٤٠٠</t>
  </si>
  <si>
    <t>٧٢٠/٤١٥</t>
  </si>
  <si>
    <t>م</t>
  </si>
  <si>
    <r>
      <t xml:space="preserve">هاتف الإنذار  </t>
    </r>
    <r>
      <rPr>
        <sz val="8"/>
        <rFont val="Arial"/>
        <family val="2"/>
      </rPr>
      <t>Safeline SL6 PSTN</t>
    </r>
  </si>
  <si>
    <r>
      <t xml:space="preserve">هاتف الإنذار  </t>
    </r>
    <r>
      <rPr>
        <sz val="8"/>
        <rFont val="Arial"/>
        <family val="2"/>
      </rPr>
      <t>Safeline SL6 GSM</t>
    </r>
  </si>
  <si>
    <r>
      <t xml:space="preserve">هاتف </t>
    </r>
    <r>
      <rPr>
        <sz val="8"/>
        <rFont val="Arial"/>
        <family val="2"/>
      </rPr>
      <t>Safeline</t>
    </r>
    <r>
      <rPr>
        <sz val="10"/>
        <rFont val="Arial"/>
        <family val="2"/>
      </rPr>
      <t xml:space="preserve"> الاتصال الداخلي</t>
    </r>
  </si>
  <si>
    <t>لوحة تحكّم منفصلة</t>
  </si>
  <si>
    <t>آخر ( رمز)</t>
  </si>
  <si>
    <t>لون ( رمز)</t>
  </si>
  <si>
    <t>Commande électrique</t>
  </si>
  <si>
    <t>Comando elettrico</t>
  </si>
  <si>
    <t>Control system</t>
  </si>
  <si>
    <t xml:space="preserve">Direkt UPB </t>
  </si>
  <si>
    <t>مباشر</t>
  </si>
  <si>
    <t>نظام التحكم</t>
  </si>
  <si>
    <t>Steuersystem</t>
  </si>
  <si>
    <t>Système de commande</t>
  </si>
  <si>
    <t>Diretto</t>
  </si>
  <si>
    <t>Direkte</t>
  </si>
  <si>
    <t>Direct</t>
  </si>
  <si>
    <t xml:space="preserve"> هبوط جماعي</t>
  </si>
  <si>
    <t>Down collective</t>
  </si>
  <si>
    <t>صعود / هبوط جماعي</t>
  </si>
  <si>
    <t>إشارة الطابق الرئيسي</t>
  </si>
  <si>
    <t>إشارة الطوابق الأخرى</t>
  </si>
  <si>
    <t>شاشة</t>
  </si>
  <si>
    <t xml:space="preserve"> أسهم + شاشة</t>
  </si>
  <si>
    <t>موقت (ضوء ألكبينة)</t>
  </si>
  <si>
    <t>Cuve du chauffe avec thermostat</t>
  </si>
  <si>
    <t>Interrupteur de niveau d'huile</t>
  </si>
  <si>
    <t xml:space="preserve">Indicateur externe de niveau d'huile </t>
  </si>
  <si>
    <t>Connexion pour refroidisseur d'huile</t>
  </si>
  <si>
    <t>Thermostat pour refroidisseur d'huile</t>
  </si>
  <si>
    <t>Huile hydraulique</t>
  </si>
  <si>
    <t>Pcs. 20 litres/récipient</t>
  </si>
  <si>
    <t>Alarme téléphone Safeline SL6 PSTN</t>
  </si>
  <si>
    <t>Alarme téléphone Safeline SL6 GSM</t>
  </si>
  <si>
    <t>Téléphone intercom Safeline</t>
  </si>
  <si>
    <t>Câblage sans halogène</t>
  </si>
  <si>
    <t>Armoire de commande séparée</t>
  </si>
  <si>
    <t xml:space="preserve"> ملم </t>
  </si>
  <si>
    <t>نعم</t>
  </si>
  <si>
    <t>لا</t>
  </si>
  <si>
    <t>واجهة كاملة عرض x ارتفاع</t>
  </si>
  <si>
    <t xml:space="preserve"> ارتفاع =</t>
  </si>
  <si>
    <t xml:space="preserve">الحمولة </t>
  </si>
  <si>
    <t>W</t>
  </si>
  <si>
    <t>L</t>
  </si>
  <si>
    <t>D</t>
  </si>
  <si>
    <t>P</t>
  </si>
  <si>
    <t>H</t>
  </si>
  <si>
    <t>عرض</t>
  </si>
  <si>
    <t>عمق</t>
  </si>
  <si>
    <t xml:space="preserve">ارتفاع </t>
  </si>
  <si>
    <t>مقعد قابل للثني</t>
  </si>
  <si>
    <t>2  righe</t>
  </si>
  <si>
    <t>صفيّن</t>
  </si>
  <si>
    <t>صف واحد</t>
  </si>
  <si>
    <r>
      <t>صَفيحَةٌ</t>
    </r>
    <r>
      <rPr>
        <sz val="14"/>
        <color indexed="63"/>
        <rFont val="Arial"/>
        <family val="2"/>
      </rPr>
      <t> </t>
    </r>
    <r>
      <rPr>
        <sz val="10"/>
        <color indexed="63"/>
        <rFont val="Arial"/>
        <family val="2"/>
      </rPr>
      <t>جِلْدِيَّة</t>
    </r>
  </si>
  <si>
    <t>الساتان المقاوم للصدأ</t>
  </si>
  <si>
    <t>صفائح رقيقة</t>
  </si>
  <si>
    <r>
      <t xml:space="preserve">مِصَدّ </t>
    </r>
    <r>
      <rPr>
        <sz val="13.5"/>
        <color indexed="63"/>
        <rFont val="Arial"/>
        <family val="2"/>
      </rPr>
      <t> </t>
    </r>
    <r>
      <rPr>
        <sz val="9.5"/>
        <color indexed="8"/>
        <rFont val="Arial"/>
        <family val="2"/>
      </rPr>
      <t>الصدمات</t>
    </r>
  </si>
  <si>
    <t>مدمج / مُثَبّت</t>
  </si>
  <si>
    <t>إضاءة ( السقف )</t>
  </si>
  <si>
    <t>الواح تغطية جانبية</t>
  </si>
  <si>
    <t>دَرابْزين</t>
  </si>
  <si>
    <t>مفتاح التنظيف</t>
  </si>
  <si>
    <t xml:space="preserve">chiave Pulizia </t>
  </si>
  <si>
    <t>أولوية الاتصال (مستشفى)</t>
  </si>
  <si>
    <t>Chiamata prioritaria (Ospedale)</t>
  </si>
  <si>
    <t>العميل:</t>
  </si>
  <si>
    <t xml:space="preserve"> صفوف </t>
  </si>
  <si>
    <t>Language</t>
  </si>
  <si>
    <t>لوحة أزرار اضافية (مصعد السيارة)</t>
  </si>
  <si>
    <t>BàB supplémentaire (Ascenseur de voiture)</t>
  </si>
  <si>
    <t>extra Tableaupaneel (Autoaufzug)</t>
  </si>
  <si>
    <t>Extra korgtablå (Bilhiss)</t>
  </si>
  <si>
    <t>Extra COP (Car  lift)</t>
  </si>
  <si>
    <t>Traffic light red/green (Car lift)</t>
  </si>
  <si>
    <t>إشارة ضوئية  احمر/اخضر (مصعد السيارة)</t>
  </si>
  <si>
    <t>Bottoniera supplementare (montauto )</t>
  </si>
  <si>
    <t>montauto</t>
  </si>
  <si>
    <t xml:space="preserve"> ألقيادة/ألتحكم</t>
  </si>
  <si>
    <t xml:space="preserve"> تلسكوبي لوحتين</t>
  </si>
  <si>
    <t>تلسكوبي ٣ الواح</t>
  </si>
  <si>
    <t>فتح مركزي لوحتين</t>
  </si>
  <si>
    <t>مركزي ٤ لوحات</t>
  </si>
  <si>
    <t>إعتيادِيّ / ستاندرد</t>
  </si>
  <si>
    <t>إطار ( إعتيادِيّ / ستاندرد)</t>
  </si>
  <si>
    <t>FINISH FOR WALLS, CABIN DOORS AND LANDING DOORS IN RAL</t>
  </si>
  <si>
    <t>Vägg, korg och Schaktdörrar finish i RAL</t>
  </si>
  <si>
    <t>Finitura pareti cabina, porte cabina e  di piani</t>
  </si>
  <si>
    <t>Finish kabinewand und kabine- Schachttür in RAL</t>
  </si>
  <si>
    <t>Finition parois, Porte(s) cabine -  palières RAL</t>
  </si>
  <si>
    <t xml:space="preserve">FINISH FOR WALLS, CABIN DOORS AND LANDING DOORS </t>
  </si>
  <si>
    <t xml:space="preserve">Vägg, korg och Schaktdörrar finish </t>
  </si>
  <si>
    <t>Finitura pareti cabina, porte cabina e  di piani RAL</t>
  </si>
  <si>
    <t xml:space="preserve">Finition parois, Porte(s) cabine -  palières </t>
  </si>
  <si>
    <t xml:space="preserve">RAL </t>
  </si>
  <si>
    <t>English</t>
  </si>
  <si>
    <t>Svenska</t>
  </si>
  <si>
    <t>Italiano</t>
  </si>
  <si>
    <t xml:space="preserve"> إكْمال باب الصاعدة</t>
  </si>
  <si>
    <t xml:space="preserve"> إكْمال أبواب الطوابق</t>
  </si>
  <si>
    <t>مِعْيَارُ مقاومةِ الحريق</t>
  </si>
  <si>
    <t> تَجْهِيز</t>
  </si>
  <si>
    <t xml:space="preserve"> وَفْقاً لِـ  توجيهات </t>
  </si>
  <si>
    <t>خليّة كهروضوئيّة</t>
  </si>
  <si>
    <t>قِيَاس ألكبينة</t>
  </si>
  <si>
    <t>واجِهَة</t>
  </si>
  <si>
    <t>Deutsch</t>
  </si>
  <si>
    <t>Français</t>
  </si>
  <si>
    <t>جدران ألكبينة و أبواب ألكبينة و ألطوابق  RAL</t>
  </si>
  <si>
    <t xml:space="preserve">جدران ألكبينة و أبواب ألكبينة و ألطوابق </t>
  </si>
  <si>
    <t xml:space="preserve"> أرضية ألكبينة</t>
  </si>
  <si>
    <t xml:space="preserve"> Pavimento - cabina</t>
  </si>
  <si>
    <t>Golv Korg</t>
  </si>
  <si>
    <t>Floor - Car</t>
  </si>
  <si>
    <t>Boden - Kabine</t>
  </si>
  <si>
    <t>Plancher -Cabine</t>
  </si>
  <si>
    <t>Walls:</t>
  </si>
  <si>
    <t>Väggar:</t>
  </si>
  <si>
    <t>Pareti:</t>
  </si>
  <si>
    <t>Wände:</t>
  </si>
  <si>
    <t>Murs :</t>
  </si>
  <si>
    <t>عتبة</t>
  </si>
  <si>
    <t>Reinforced alu.</t>
  </si>
  <si>
    <t>förstäkt alu.</t>
  </si>
  <si>
    <t>alluminio rinforzato</t>
  </si>
  <si>
    <t>verstärktes Alu.</t>
  </si>
  <si>
    <t>Aluminium renforcé</t>
  </si>
  <si>
    <t>Plåt</t>
  </si>
  <si>
    <t>Stahlblech</t>
  </si>
  <si>
    <t>Plaque</t>
  </si>
  <si>
    <t xml:space="preserve">Massive iron </t>
  </si>
  <si>
    <t>Massive Rostfri</t>
  </si>
  <si>
    <t>Acciaio  massiccio</t>
  </si>
  <si>
    <t>massiver Rostfreier</t>
  </si>
  <si>
    <t>Massif inoxydable</t>
  </si>
  <si>
    <t>Avbärare</t>
  </si>
  <si>
    <t xml:space="preserve">Sill </t>
  </si>
  <si>
    <t xml:space="preserve">Soglia </t>
  </si>
  <si>
    <t>Seuil</t>
  </si>
  <si>
    <t>türschwelle</t>
  </si>
  <si>
    <t>230V</t>
  </si>
  <si>
    <t>Trafikljus i korg  röd/grön (Bilhiss)</t>
  </si>
  <si>
    <t>Semaforo nel cabina rosso/verde (montauto)</t>
  </si>
  <si>
    <t>Ampelanlage in der Kabine rot/grün (Autoaufzug)</t>
  </si>
  <si>
    <t>Feu dans la cabine Vert/Rouge (Ascenseur de voiture)</t>
  </si>
  <si>
    <t>EN81.21</t>
  </si>
  <si>
    <t>EN.81.73</t>
  </si>
  <si>
    <t>400V</t>
  </si>
  <si>
    <t>Gomma</t>
  </si>
  <si>
    <t>Gumme</t>
  </si>
  <si>
    <t>حجر</t>
  </si>
  <si>
    <t>Stein</t>
  </si>
  <si>
    <t>Pierre</t>
  </si>
  <si>
    <t>Pietra</t>
  </si>
  <si>
    <t>Sten</t>
  </si>
  <si>
    <t>Stone</t>
  </si>
  <si>
    <t>Rostfri</t>
  </si>
  <si>
    <t>Acciaio</t>
  </si>
  <si>
    <t>Iron</t>
  </si>
  <si>
    <t>massiv järn</t>
  </si>
  <si>
    <t>Fer massif</t>
  </si>
  <si>
    <t>Massive Inox</t>
  </si>
  <si>
    <t>Ferro</t>
  </si>
  <si>
    <t>Ferro massiccio</t>
  </si>
  <si>
    <t>Rostfreie</t>
  </si>
  <si>
    <t>Massive Eisen</t>
  </si>
  <si>
    <t>Inoxydable</t>
  </si>
  <si>
    <t>Goods/passenger lift</t>
  </si>
  <si>
    <t>Varu/personhiss</t>
  </si>
  <si>
    <t>Goods/passenger (Fork lift)</t>
  </si>
  <si>
    <t>Varu/personhiss (Truckhiss)</t>
  </si>
  <si>
    <t>Vehicle lift</t>
  </si>
  <si>
    <t>C6</t>
  </si>
  <si>
    <t>RAL7032</t>
  </si>
  <si>
    <t>Stainless steel brushed</t>
  </si>
  <si>
    <t>RAL 7032</t>
  </si>
  <si>
    <t>Reinforced aluminium</t>
  </si>
  <si>
    <t xml:space="preserve">Solid iron </t>
  </si>
  <si>
    <t>Solid stainless steel</t>
  </si>
  <si>
    <t>Painted in std.RAL</t>
  </si>
  <si>
    <t>Steel chequer plate RAL7004</t>
  </si>
  <si>
    <t>Aluminium five bar</t>
  </si>
  <si>
    <t>Stainless steel chequer plate</t>
  </si>
  <si>
    <t xml:space="preserve">Standard flush </t>
  </si>
  <si>
    <t>LED spot lights</t>
  </si>
</sst>
</file>

<file path=xl/styles.xml><?xml version="1.0" encoding="utf-8"?>
<styleSheet xmlns="http://schemas.openxmlformats.org/spreadsheetml/2006/main">
  <numFmts count="4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41D]&quot;den &quot;d\ mmmm\ yyyy"/>
    <numFmt numFmtId="187" formatCode="0.0"/>
    <numFmt numFmtId="188" formatCode="0.000"/>
    <numFmt numFmtId="189" formatCode="0.0000"/>
    <numFmt numFmtId="190" formatCode="&quot;Ja&quot;;&quot;Ja&quot;;&quot;Nej&quot;"/>
    <numFmt numFmtId="191" formatCode="&quot;Sant&quot;;&quot;Sant&quot;;&quot;Falskt&quot;"/>
    <numFmt numFmtId="192" formatCode="&quot;På&quot;;&quot;På&quot;;&quot;Av&quot;"/>
    <numFmt numFmtId="193" formatCode="[$€-2]\ #,##0.00_);[Red]\([$€-2]\ #,##0.00\)"/>
    <numFmt numFmtId="194" formatCode="0.00000"/>
    <numFmt numFmtId="195" formatCode="0.000000000"/>
    <numFmt numFmtId="196" formatCode="0.00000000"/>
    <numFmt numFmtId="197" formatCode="0.0000000"/>
    <numFmt numFmtId="198" formatCode="0.000000"/>
    <numFmt numFmtId="199" formatCode="0.00_)"/>
    <numFmt numFmtId="200" formatCode="_-* #,##0\ _k_r_-;\-* #,##0\ _k_r_-;_-* &quot;-&quot;??\ _k_r_-;_-@_-"/>
    <numFmt numFmtId="201" formatCode="[$-2000401]0"/>
    <numFmt numFmtId="202" formatCode="000\ 00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name val="SWISS"/>
      <family val="0"/>
    </font>
    <font>
      <sz val="9.5"/>
      <color indexed="8"/>
      <name val="Arial"/>
      <family val="2"/>
    </font>
    <font>
      <sz val="13.5"/>
      <color indexed="63"/>
      <name val="Arial"/>
      <family val="2"/>
    </font>
    <font>
      <sz val="14"/>
      <color indexed="63"/>
      <name val="Arial"/>
      <family val="2"/>
    </font>
    <font>
      <sz val="10"/>
      <color indexed="63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b/>
      <sz val="10"/>
      <color indexed="30"/>
      <name val="Arial"/>
      <family val="2"/>
    </font>
    <font>
      <b/>
      <i/>
      <sz val="13"/>
      <color indexed="62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18"/>
      </top>
      <bottom style="thin"/>
    </border>
    <border>
      <left>
        <color indexed="63"/>
      </left>
      <right style="thin"/>
      <top style="thin">
        <color indexed="18"/>
      </top>
      <bottom style="thin"/>
    </border>
    <border>
      <left style="thin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2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2"/>
      </right>
      <top style="thin">
        <color indexed="63"/>
      </top>
      <bottom style="thin"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3"/>
      </bottom>
    </border>
    <border>
      <left style="thin">
        <color indexed="62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18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62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10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0" borderId="1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 horizontal="left"/>
      <protection/>
    </xf>
    <xf numFmtId="0" fontId="0" fillId="0" borderId="0" xfId="0" applyFont="1" applyAlignment="1">
      <alignment horizontal="right"/>
    </xf>
    <xf numFmtId="0" fontId="0" fillId="0" borderId="10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Font="1" applyBorder="1" applyAlignment="1" applyProtection="1">
      <alignment horizontal="right"/>
      <protection hidden="1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2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201" fontId="0" fillId="0" borderId="0" xfId="0" applyNumberFormat="1" applyFont="1" applyAlignment="1">
      <alignment horizontal="right"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horizontal="left" wrapText="1"/>
      <protection/>
    </xf>
    <xf numFmtId="0" fontId="0" fillId="0" borderId="15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201" fontId="2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01" fontId="2" fillId="33" borderId="0" xfId="0" applyNumberFormat="1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 wrapText="1"/>
      <protection/>
    </xf>
    <xf numFmtId="0" fontId="0" fillId="33" borderId="17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wrapText="1"/>
      <protection/>
    </xf>
    <xf numFmtId="0" fontId="0" fillId="33" borderId="19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0" borderId="20" xfId="0" applyBorder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01" fontId="7" fillId="33" borderId="0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right"/>
      <protection/>
    </xf>
    <xf numFmtId="0" fontId="10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3" fillId="33" borderId="0" xfId="45" applyFont="1" applyFill="1" applyBorder="1" applyAlignment="1" applyProtection="1">
      <alignment horizontal="center" vertical="center"/>
      <protection/>
    </xf>
    <xf numFmtId="14" fontId="0" fillId="33" borderId="23" xfId="0" applyNumberFormat="1" applyFill="1" applyBorder="1" applyAlignment="1" applyProtection="1">
      <alignment horizontal="left" wrapText="1"/>
      <protection/>
    </xf>
    <xf numFmtId="0" fontId="0" fillId="33" borderId="23" xfId="0" applyFill="1" applyBorder="1" applyAlignment="1" applyProtection="1">
      <alignment horizontal="left" wrapText="1"/>
      <protection/>
    </xf>
    <xf numFmtId="0" fontId="0" fillId="33" borderId="23" xfId="0" applyFill="1" applyBorder="1" applyAlignment="1" applyProtection="1">
      <alignment wrapText="1"/>
      <protection/>
    </xf>
    <xf numFmtId="0" fontId="0" fillId="33" borderId="24" xfId="0" applyFill="1" applyBorder="1" applyAlignment="1" applyProtection="1">
      <alignment horizontal="left" wrapText="1"/>
      <protection/>
    </xf>
    <xf numFmtId="0" fontId="0" fillId="33" borderId="24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19" xfId="0" applyFill="1" applyBorder="1" applyAlignment="1" applyProtection="1">
      <alignment horizontal="left" wrapText="1"/>
      <protection/>
    </xf>
    <xf numFmtId="0" fontId="2" fillId="33" borderId="1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2" fillId="33" borderId="25" xfId="0" applyNumberFormat="1" applyFont="1" applyFill="1" applyBorder="1" applyAlignment="1" applyProtection="1">
      <alignment horizontal="center" wrapText="1"/>
      <protection/>
    </xf>
    <xf numFmtId="0" fontId="2" fillId="33" borderId="26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2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wrapText="1"/>
      <protection/>
    </xf>
    <xf numFmtId="0" fontId="0" fillId="33" borderId="27" xfId="0" applyNumberFormat="1" applyFill="1" applyBorder="1" applyAlignment="1" applyProtection="1">
      <alignment horizontal="center" wrapText="1"/>
      <protection/>
    </xf>
    <xf numFmtId="0" fontId="0" fillId="33" borderId="28" xfId="0" applyNumberFormat="1" applyFill="1" applyBorder="1" applyAlignment="1" applyProtection="1">
      <alignment horizontal="center" wrapText="1"/>
      <protection/>
    </xf>
    <xf numFmtId="0" fontId="0" fillId="33" borderId="29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wrapText="1"/>
      <protection/>
    </xf>
    <xf numFmtId="0" fontId="0" fillId="33" borderId="32" xfId="0" applyNumberFormat="1" applyFill="1" applyBorder="1" applyAlignment="1" applyProtection="1">
      <alignment horizontal="center" wrapText="1"/>
      <protection/>
    </xf>
    <xf numFmtId="0" fontId="0" fillId="33" borderId="26" xfId="0" applyFill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 wrapText="1"/>
      <protection/>
    </xf>
    <xf numFmtId="0" fontId="0" fillId="0" borderId="34" xfId="0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27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5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5" borderId="35" xfId="0" applyFont="1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/>
      <protection locked="0"/>
    </xf>
    <xf numFmtId="14" fontId="0" fillId="33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 horizontal="left"/>
      <protection locked="0"/>
    </xf>
    <xf numFmtId="0" fontId="2" fillId="33" borderId="3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15" fillId="33" borderId="14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5" borderId="37" xfId="0" applyFont="1" applyFill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2" fillId="34" borderId="14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Alignment="1">
      <alignment/>
    </xf>
    <xf numFmtId="0" fontId="2" fillId="35" borderId="15" xfId="0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33" borderId="38" xfId="0" applyFont="1" applyFill="1" applyBorder="1" applyAlignment="1" applyProtection="1">
      <alignment horizontal="left"/>
      <protection locked="0"/>
    </xf>
    <xf numFmtId="0" fontId="2" fillId="33" borderId="39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33" borderId="40" xfId="0" applyFont="1" applyFill="1" applyBorder="1" applyAlignment="1" applyProtection="1">
      <alignment horizontal="left"/>
      <protection locked="0"/>
    </xf>
    <xf numFmtId="0" fontId="2" fillId="33" borderId="41" xfId="0" applyFont="1" applyFill="1" applyBorder="1" applyAlignment="1" applyProtection="1">
      <alignment horizontal="left"/>
      <protection locked="0"/>
    </xf>
    <xf numFmtId="0" fontId="2" fillId="33" borderId="4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" fillId="35" borderId="43" xfId="0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/>
      <protection/>
    </xf>
    <xf numFmtId="0" fontId="1" fillId="35" borderId="39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2" fillId="33" borderId="44" xfId="0" applyFont="1" applyFill="1" applyBorder="1" applyAlignment="1" applyProtection="1">
      <alignment horizontal="left"/>
      <protection locked="0"/>
    </xf>
    <xf numFmtId="0" fontId="2" fillId="33" borderId="45" xfId="0" applyFont="1" applyFill="1" applyBorder="1" applyAlignment="1" applyProtection="1">
      <alignment horizontal="left"/>
      <protection locked="0"/>
    </xf>
    <xf numFmtId="0" fontId="2" fillId="33" borderId="46" xfId="0" applyFont="1" applyFill="1" applyBorder="1" applyAlignment="1" applyProtection="1">
      <alignment horizontal="left"/>
      <protection locked="0"/>
    </xf>
    <xf numFmtId="0" fontId="2" fillId="33" borderId="47" xfId="0" applyFont="1" applyFill="1" applyBorder="1" applyAlignment="1" applyProtection="1">
      <alignment horizontal="left"/>
      <protection locked="0"/>
    </xf>
    <xf numFmtId="0" fontId="2" fillId="33" borderId="48" xfId="0" applyFont="1" applyFill="1" applyBorder="1" applyAlignment="1" applyProtection="1">
      <alignment horizontal="left"/>
      <protection locked="0"/>
    </xf>
    <xf numFmtId="0" fontId="2" fillId="33" borderId="49" xfId="0" applyFont="1" applyFill="1" applyBorder="1" applyAlignment="1" applyProtection="1">
      <alignment horizontal="left"/>
      <protection locked="0"/>
    </xf>
    <xf numFmtId="0" fontId="2" fillId="33" borderId="50" xfId="0" applyFont="1" applyFill="1" applyBorder="1" applyAlignment="1" applyProtection="1">
      <alignment horizontal="left"/>
      <protection locked="0"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5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34" borderId="19" xfId="0" applyFont="1" applyFill="1" applyBorder="1" applyAlignment="1">
      <alignment/>
    </xf>
    <xf numFmtId="0" fontId="15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 horizontal="center"/>
      <protection/>
    </xf>
    <xf numFmtId="0" fontId="0" fillId="34" borderId="29" xfId="0" applyFill="1" applyBorder="1" applyAlignment="1">
      <alignment/>
    </xf>
    <xf numFmtId="0" fontId="0" fillId="34" borderId="0" xfId="0" applyFill="1" applyAlignment="1">
      <alignment/>
    </xf>
    <xf numFmtId="0" fontId="0" fillId="34" borderId="36" xfId="0" applyFill="1" applyBorder="1" applyAlignment="1">
      <alignment/>
    </xf>
    <xf numFmtId="0" fontId="2" fillId="33" borderId="36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0" fontId="5" fillId="33" borderId="0" xfId="45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2" fillId="33" borderId="24" xfId="0" applyFont="1" applyFill="1" applyBorder="1" applyAlignment="1" applyProtection="1">
      <alignment horizontal="right"/>
      <protection/>
    </xf>
    <xf numFmtId="0" fontId="2" fillId="33" borderId="52" xfId="0" applyFont="1" applyFill="1" applyBorder="1" applyAlignment="1" applyProtection="1">
      <alignment horizontal="left"/>
      <protection locked="0"/>
    </xf>
    <xf numFmtId="0" fontId="2" fillId="33" borderId="53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5" fillId="33" borderId="43" xfId="0" applyFont="1" applyFill="1" applyBorder="1" applyAlignment="1" applyProtection="1">
      <alignment horizontal="center"/>
      <protection locked="0"/>
    </xf>
    <xf numFmtId="0" fontId="25" fillId="33" borderId="38" xfId="0" applyFont="1" applyFill="1" applyBorder="1" applyAlignment="1" applyProtection="1">
      <alignment horizontal="center"/>
      <protection locked="0"/>
    </xf>
    <xf numFmtId="0" fontId="25" fillId="33" borderId="39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wrapText="1"/>
      <protection/>
    </xf>
    <xf numFmtId="0" fontId="25" fillId="33" borderId="43" xfId="45" applyFont="1" applyFill="1" applyBorder="1" applyAlignment="1" applyProtection="1">
      <alignment horizontal="center" vertical="center"/>
      <protection locked="0"/>
    </xf>
    <xf numFmtId="0" fontId="25" fillId="33" borderId="38" xfId="45" applyFont="1" applyFill="1" applyBorder="1" applyAlignment="1" applyProtection="1">
      <alignment horizontal="center" vertical="center"/>
      <protection locked="0"/>
    </xf>
    <xf numFmtId="0" fontId="25" fillId="33" borderId="39" xfId="45" applyFont="1" applyFill="1" applyBorder="1" applyAlignment="1" applyProtection="1">
      <alignment horizontal="center" vertical="center"/>
      <protection locked="0"/>
    </xf>
    <xf numFmtId="0" fontId="5" fillId="33" borderId="0" xfId="45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2" fillId="33" borderId="54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2" fillId="35" borderId="37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34" borderId="35" xfId="0" applyFont="1" applyFill="1" applyBorder="1" applyAlignment="1" applyProtection="1">
      <alignment horizontal="center"/>
      <protection locked="0"/>
    </xf>
    <xf numFmtId="0" fontId="2" fillId="34" borderId="37" xfId="0" applyFont="1" applyFill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2" fillId="35" borderId="35" xfId="0" applyFont="1" applyFill="1" applyBorder="1" applyAlignment="1" applyProtection="1">
      <alignment horizontal="center"/>
      <protection/>
    </xf>
    <xf numFmtId="0" fontId="2" fillId="35" borderId="37" xfId="0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33" borderId="35" xfId="0" applyFont="1" applyFill="1" applyBorder="1" applyAlignment="1" applyProtection="1">
      <alignment horizontal="center"/>
      <protection locked="0"/>
    </xf>
    <xf numFmtId="0" fontId="2" fillId="33" borderId="37" xfId="0" applyFont="1" applyFill="1" applyBorder="1" applyAlignment="1" applyProtection="1">
      <alignment horizontal="center"/>
      <protection locked="0"/>
    </xf>
    <xf numFmtId="0" fontId="2" fillId="33" borderId="25" xfId="0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 applyProtection="1">
      <alignment/>
      <protection/>
    </xf>
    <xf numFmtId="0" fontId="12" fillId="34" borderId="29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 vertical="top"/>
    </xf>
    <xf numFmtId="0" fontId="2" fillId="33" borderId="15" xfId="0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33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right"/>
      <protection locked="0"/>
    </xf>
    <xf numFmtId="0" fontId="2" fillId="0" borderId="38" xfId="0" applyFont="1" applyBorder="1" applyAlignment="1" applyProtection="1">
      <alignment horizontal="right"/>
      <protection locked="0"/>
    </xf>
    <xf numFmtId="0" fontId="2" fillId="33" borderId="14" xfId="0" applyFont="1" applyFill="1" applyBorder="1" applyAlignment="1" applyProtection="1">
      <alignment horizontal="center"/>
      <protection/>
    </xf>
    <xf numFmtId="0" fontId="2" fillId="35" borderId="25" xfId="0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1" fillId="35" borderId="38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7" fillId="33" borderId="36" xfId="0" applyFont="1" applyFill="1" applyBorder="1" applyAlignment="1" applyProtection="1">
      <alignment horizontal="left"/>
      <protection/>
    </xf>
    <xf numFmtId="201" fontId="0" fillId="33" borderId="0" xfId="0" applyNumberForma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2" fillId="33" borderId="38" xfId="0" applyFont="1" applyFill="1" applyBorder="1" applyAlignment="1" applyProtection="1">
      <alignment horizontal="right"/>
      <protection locked="0"/>
    </xf>
    <xf numFmtId="0" fontId="0" fillId="0" borderId="43" xfId="0" applyFont="1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right"/>
      <protection locked="0"/>
    </xf>
    <xf numFmtId="0" fontId="0" fillId="0" borderId="39" xfId="0" applyBorder="1" applyAlignment="1" applyProtection="1">
      <alignment horizontal="right"/>
      <protection locked="0"/>
    </xf>
    <xf numFmtId="201" fontId="2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3" fillId="33" borderId="43" xfId="45" applyFont="1" applyFill="1" applyBorder="1" applyAlignment="1" applyProtection="1">
      <alignment horizontal="center"/>
      <protection locked="0"/>
    </xf>
    <xf numFmtId="0" fontId="13" fillId="33" borderId="38" xfId="45" applyFont="1" applyFill="1" applyBorder="1" applyAlignment="1" applyProtection="1">
      <alignment horizontal="center"/>
      <protection locked="0"/>
    </xf>
    <xf numFmtId="0" fontId="13" fillId="33" borderId="39" xfId="45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right"/>
      <protection locked="0"/>
    </xf>
    <xf numFmtId="14" fontId="1" fillId="33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5" fillId="33" borderId="0" xfId="45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5" borderId="25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b/>
        <i val="0"/>
        <strike val="0"/>
        <color auto="1"/>
      </font>
      <fill>
        <patternFill>
          <bgColor rgb="FF00B050"/>
        </patternFill>
      </fill>
    </dxf>
    <dxf>
      <font>
        <b/>
        <i val="0"/>
        <strike val="0"/>
        <color auto="1"/>
      </font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28575</xdr:rowOff>
    </xdr:from>
    <xdr:to>
      <xdr:col>13</xdr:col>
      <xdr:colOff>28575</xdr:colOff>
      <xdr:row>6</xdr:row>
      <xdr:rowOff>28575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81025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85725</xdr:rowOff>
    </xdr:from>
    <xdr:to>
      <xdr:col>15</xdr:col>
      <xdr:colOff>9525</xdr:colOff>
      <xdr:row>5</xdr:row>
      <xdr:rowOff>133350</xdr:rowOff>
    </xdr:to>
    <xdr:pic>
      <xdr:nvPicPr>
        <xdr:cNvPr id="1" name="Bildobjekt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33400"/>
          <a:ext cx="1666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352425</xdr:colOff>
      <xdr:row>36</xdr:row>
      <xdr:rowOff>28575</xdr:rowOff>
    </xdr:from>
    <xdr:to>
      <xdr:col>66</xdr:col>
      <xdr:colOff>581025</xdr:colOff>
      <xdr:row>44</xdr:row>
      <xdr:rowOff>95250</xdr:rowOff>
    </xdr:to>
    <xdr:pic>
      <xdr:nvPicPr>
        <xdr:cNvPr id="2" name="Bildobjekt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5334000"/>
          <a:ext cx="5105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200025</xdr:colOff>
      <xdr:row>47</xdr:row>
      <xdr:rowOff>9525</xdr:rowOff>
    </xdr:from>
    <xdr:to>
      <xdr:col>67</xdr:col>
      <xdr:colOff>161925</xdr:colOff>
      <xdr:row>64</xdr:row>
      <xdr:rowOff>95250</xdr:rowOff>
    </xdr:to>
    <xdr:pic>
      <xdr:nvPicPr>
        <xdr:cNvPr id="3" name="Bildobjekt 1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6772275"/>
          <a:ext cx="54483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209550</xdr:colOff>
      <xdr:row>66</xdr:row>
      <xdr:rowOff>38100</xdr:rowOff>
    </xdr:from>
    <xdr:to>
      <xdr:col>67</xdr:col>
      <xdr:colOff>238125</xdr:colOff>
      <xdr:row>73</xdr:row>
      <xdr:rowOff>57150</xdr:rowOff>
    </xdr:to>
    <xdr:pic>
      <xdr:nvPicPr>
        <xdr:cNvPr id="4" name="Bildobjekt 1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9439275"/>
          <a:ext cx="5514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droware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ydroware.com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FI76"/>
  <sheetViews>
    <sheetView showGridLines="0" tabSelected="1" workbookViewId="0" topLeftCell="A1">
      <pane ySplit="8" topLeftCell="A9" activePane="bottomLeft" state="frozen"/>
      <selection pane="topLeft" activeCell="A1" sqref="A1"/>
      <selection pane="bottomLeft" activeCell="B2" sqref="B2:F2"/>
    </sheetView>
  </sheetViews>
  <sheetFormatPr defaultColWidth="9.00390625" defaultRowHeight="12.75"/>
  <cols>
    <col min="1" max="3" width="1.7109375" style="81" customWidth="1"/>
    <col min="4" max="4" width="2.7109375" style="81" customWidth="1"/>
    <col min="5" max="15" width="1.7109375" style="81" customWidth="1"/>
    <col min="16" max="16" width="2.7109375" style="81" customWidth="1"/>
    <col min="17" max="19" width="1.7109375" style="81" customWidth="1"/>
    <col min="20" max="20" width="2.7109375" style="81" customWidth="1"/>
    <col min="21" max="33" width="1.7109375" style="81" customWidth="1"/>
    <col min="34" max="35" width="2.7109375" style="81" customWidth="1"/>
    <col min="36" max="45" width="1.7109375" style="81" customWidth="1"/>
    <col min="46" max="46" width="2.140625" style="81" customWidth="1"/>
    <col min="47" max="47" width="3.00390625" style="81" customWidth="1"/>
    <col min="48" max="48" width="1.7109375" style="81" customWidth="1"/>
    <col min="49" max="49" width="3.421875" style="81" customWidth="1"/>
    <col min="50" max="52" width="1.7109375" style="81" customWidth="1"/>
    <col min="53" max="53" width="2.140625" style="81" customWidth="1"/>
    <col min="54" max="54" width="3.140625" style="81" customWidth="1"/>
    <col min="55" max="55" width="3.28125" style="81" customWidth="1"/>
    <col min="56" max="56" width="3.140625" style="81" customWidth="1"/>
    <col min="57" max="173" width="1.7109375" style="81" customWidth="1"/>
    <col min="174" max="16384" width="9.00390625" style="81" customWidth="1"/>
  </cols>
  <sheetData>
    <row r="1" spans="1:165" s="137" customFormat="1" ht="18" customHeight="1">
      <c r="A1" s="185" t="s">
        <v>91</v>
      </c>
      <c r="B1" s="287" t="str">
        <f>Språk!A12</f>
        <v>Språk:</v>
      </c>
      <c r="C1" s="287"/>
      <c r="D1" s="287"/>
      <c r="E1" s="287"/>
      <c r="F1" s="287"/>
      <c r="G1" s="292" t="str">
        <f>Språk!A11</f>
        <v>Hydroware Elevation Technology AB</v>
      </c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136"/>
      <c r="BT1" s="304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300"/>
      <c r="CY1" s="300"/>
      <c r="CZ1" s="124"/>
      <c r="DA1" s="300"/>
      <c r="DB1" s="300"/>
      <c r="DC1" s="300"/>
      <c r="DD1" s="300"/>
      <c r="DE1" s="300"/>
      <c r="DF1" s="300"/>
      <c r="DV1" s="138"/>
      <c r="DW1" s="303"/>
      <c r="DX1" s="301"/>
      <c r="DY1" s="301"/>
      <c r="DZ1" s="301"/>
      <c r="EA1" s="301"/>
      <c r="EB1" s="301"/>
      <c r="EC1" s="301"/>
      <c r="ED1" s="301"/>
      <c r="EE1" s="301"/>
      <c r="EF1" s="301"/>
      <c r="EG1" s="301"/>
      <c r="EH1" s="301"/>
      <c r="EI1" s="301"/>
      <c r="EJ1" s="301"/>
      <c r="EK1" s="301"/>
      <c r="EL1" s="301"/>
      <c r="EM1" s="301"/>
      <c r="EN1" s="301"/>
      <c r="EO1" s="301"/>
      <c r="EP1" s="301"/>
      <c r="EQ1" s="301"/>
      <c r="ER1" s="301"/>
      <c r="ES1" s="301"/>
      <c r="ET1" s="301"/>
      <c r="EU1" s="301"/>
      <c r="EV1" s="301"/>
      <c r="EW1" s="301"/>
      <c r="EX1" s="301"/>
      <c r="EY1" s="301"/>
      <c r="EZ1" s="301"/>
      <c r="FA1" s="301"/>
      <c r="FB1" s="301"/>
      <c r="FC1" s="139"/>
      <c r="FD1" s="301"/>
      <c r="FE1" s="301"/>
      <c r="FF1" s="301"/>
      <c r="FG1" s="301"/>
      <c r="FH1" s="301"/>
      <c r="FI1" s="301"/>
    </row>
    <row r="2" spans="2:165" ht="12.75">
      <c r="B2" s="284" t="s">
        <v>788</v>
      </c>
      <c r="C2" s="285"/>
      <c r="D2" s="285"/>
      <c r="E2" s="285"/>
      <c r="F2" s="286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203">
        <f ca="1">TODAY()</f>
        <v>42703</v>
      </c>
      <c r="U2" s="204"/>
      <c r="V2" s="204"/>
      <c r="W2" s="204"/>
      <c r="X2" s="204"/>
      <c r="Y2" s="204"/>
      <c r="Z2" s="204"/>
      <c r="AA2" s="104"/>
      <c r="AB2" s="104"/>
      <c r="AC2" s="104"/>
      <c r="AD2" s="104"/>
      <c r="AE2" s="104"/>
      <c r="AF2" s="104"/>
      <c r="AG2" s="104"/>
      <c r="AH2" s="77"/>
      <c r="AI2" s="77"/>
      <c r="AJ2" s="274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104"/>
      <c r="AW2" s="77"/>
      <c r="AX2" s="104"/>
      <c r="AY2" s="104"/>
      <c r="AZ2" s="104"/>
      <c r="BA2" s="104"/>
      <c r="BB2" s="104"/>
      <c r="BC2" s="104"/>
      <c r="BD2" s="104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</row>
    <row r="3" spans="2:165" ht="12.75" customHeight="1">
      <c r="B3" s="288" t="s">
        <v>93</v>
      </c>
      <c r="C3" s="289"/>
      <c r="D3" s="289"/>
      <c r="E3" s="289"/>
      <c r="F3" s="290"/>
      <c r="G3" s="82"/>
      <c r="H3" s="82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209" t="str">
        <f>Språk!A16</f>
        <v>Kund :</v>
      </c>
      <c r="AL3" s="240"/>
      <c r="AM3" s="240"/>
      <c r="AN3" s="240"/>
      <c r="AO3" s="240"/>
      <c r="AP3" s="240"/>
      <c r="AQ3" s="240"/>
      <c r="AR3" s="206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298"/>
      <c r="CY3" s="299"/>
      <c r="CZ3" s="299"/>
      <c r="DA3" s="299"/>
      <c r="DB3" s="299"/>
      <c r="DC3" s="299"/>
      <c r="DD3" s="299"/>
      <c r="DE3" s="299"/>
      <c r="DF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236"/>
      <c r="FB3" s="297"/>
      <c r="FC3" s="297"/>
      <c r="FD3" s="297"/>
      <c r="FE3" s="297"/>
      <c r="FF3" s="297"/>
      <c r="FG3" s="297"/>
      <c r="FH3" s="297"/>
      <c r="FI3" s="105"/>
    </row>
    <row r="4" spans="2:165" ht="12.75" customHeight="1">
      <c r="B4" s="140"/>
      <c r="C4" s="140"/>
      <c r="D4" s="140"/>
      <c r="E4" s="140"/>
      <c r="F4" s="140"/>
      <c r="G4" s="82"/>
      <c r="H4" s="82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279" t="str">
        <f>Språk!A15</f>
        <v>ORDER</v>
      </c>
      <c r="Z4" s="280"/>
      <c r="AA4" s="280"/>
      <c r="AB4" s="280"/>
      <c r="AC4" s="281"/>
      <c r="AD4" s="281"/>
      <c r="AE4" s="104"/>
      <c r="AF4" s="104"/>
      <c r="AG4" s="104"/>
      <c r="AH4" s="104"/>
      <c r="AI4" s="104"/>
      <c r="AJ4" s="104"/>
      <c r="AK4" s="209" t="str">
        <f>Språk!A17</f>
        <v>Objektsnummer</v>
      </c>
      <c r="AL4" s="240"/>
      <c r="AM4" s="240"/>
      <c r="AN4" s="240"/>
      <c r="AO4" s="240"/>
      <c r="AP4" s="240"/>
      <c r="AQ4" s="240"/>
      <c r="AR4" s="238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22"/>
      <c r="CY4" s="123"/>
      <c r="CZ4" s="123"/>
      <c r="DA4" s="123"/>
      <c r="DB4" s="123"/>
      <c r="DC4" s="123"/>
      <c r="DD4" s="123"/>
      <c r="DE4" s="123"/>
      <c r="DF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28"/>
      <c r="FB4" s="132"/>
      <c r="FC4" s="132"/>
      <c r="FD4" s="132"/>
      <c r="FE4" s="132"/>
      <c r="FF4" s="132"/>
      <c r="FG4" s="132"/>
      <c r="FH4" s="132"/>
      <c r="FI4" s="105"/>
    </row>
    <row r="5" spans="2:165" ht="11.25" customHeight="1">
      <c r="B5" s="82"/>
      <c r="C5" s="82"/>
      <c r="D5" s="82"/>
      <c r="E5" s="82"/>
      <c r="F5" s="82"/>
      <c r="G5" s="82"/>
      <c r="H5" s="82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209" t="str">
        <f>Språk!A18</f>
        <v>Er referens:</v>
      </c>
      <c r="AL5" s="240"/>
      <c r="AM5" s="240"/>
      <c r="AN5" s="240"/>
      <c r="AO5" s="240"/>
      <c r="AP5" s="240"/>
      <c r="AQ5" s="240"/>
      <c r="AR5" s="238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298"/>
      <c r="CY5" s="299"/>
      <c r="CZ5" s="299"/>
      <c r="DA5" s="299"/>
      <c r="DB5" s="299"/>
      <c r="DC5" s="299"/>
      <c r="DD5" s="299"/>
      <c r="DE5" s="299"/>
      <c r="DF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236"/>
      <c r="FB5" s="297"/>
      <c r="FC5" s="297"/>
      <c r="FD5" s="297"/>
      <c r="FE5" s="297"/>
      <c r="FF5" s="297"/>
      <c r="FG5" s="297"/>
      <c r="FH5" s="297"/>
      <c r="FI5" s="105"/>
    </row>
    <row r="6" spans="2:165" ht="11.25" customHeight="1">
      <c r="B6" s="82"/>
      <c r="C6" s="82"/>
      <c r="D6" s="82"/>
      <c r="E6" s="82"/>
      <c r="F6" s="82"/>
      <c r="G6" s="82"/>
      <c r="H6" s="82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279" t="str">
        <f>Språk!A14</f>
        <v>OFFERT</v>
      </c>
      <c r="Z6" s="280"/>
      <c r="AA6" s="280"/>
      <c r="AB6" s="280"/>
      <c r="AC6" s="281"/>
      <c r="AD6" s="281"/>
      <c r="AE6" s="104"/>
      <c r="AF6" s="104"/>
      <c r="AG6" s="104"/>
      <c r="AH6" s="104"/>
      <c r="AI6" s="104"/>
      <c r="AJ6" s="104"/>
      <c r="AK6" s="209" t="str">
        <f>Språk!A20</f>
        <v>Tel:</v>
      </c>
      <c r="AL6" s="240"/>
      <c r="AM6" s="240"/>
      <c r="AN6" s="240"/>
      <c r="AO6" s="240"/>
      <c r="AP6" s="240"/>
      <c r="AQ6" s="240"/>
      <c r="AR6" s="238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22"/>
      <c r="CY6" s="123"/>
      <c r="CZ6" s="123"/>
      <c r="DA6" s="123"/>
      <c r="DB6" s="123"/>
      <c r="DC6" s="123"/>
      <c r="DD6" s="123"/>
      <c r="DE6" s="123"/>
      <c r="DF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28"/>
      <c r="FB6" s="132"/>
      <c r="FC6" s="132"/>
      <c r="FD6" s="132"/>
      <c r="FE6" s="132"/>
      <c r="FF6" s="132"/>
      <c r="FG6" s="132"/>
      <c r="FH6" s="132"/>
      <c r="FI6" s="105"/>
    </row>
    <row r="7" spans="2:164" s="105" customFormat="1" ht="11.25" customHeight="1">
      <c r="B7" s="291" t="s">
        <v>195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104"/>
      <c r="AD7" s="104"/>
      <c r="AE7" s="104"/>
      <c r="AF7" s="104"/>
      <c r="AG7" s="104"/>
      <c r="AH7" s="104"/>
      <c r="AI7" s="104"/>
      <c r="AJ7" s="104"/>
      <c r="AK7" s="209" t="str">
        <f>Språk!A21</f>
        <v>E-mail</v>
      </c>
      <c r="AL7" s="240"/>
      <c r="AM7" s="240"/>
      <c r="AN7" s="240"/>
      <c r="AO7" s="240"/>
      <c r="AP7" s="240"/>
      <c r="AQ7" s="240"/>
      <c r="AR7" s="238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CX7" s="236"/>
      <c r="CY7" s="297"/>
      <c r="CZ7" s="297"/>
      <c r="DA7" s="297"/>
      <c r="DB7" s="297"/>
      <c r="DC7" s="297"/>
      <c r="DD7" s="297"/>
      <c r="DE7" s="297"/>
      <c r="FA7" s="236"/>
      <c r="FB7" s="297"/>
      <c r="FC7" s="297"/>
      <c r="FD7" s="297"/>
      <c r="FE7" s="297"/>
      <c r="FF7" s="297"/>
      <c r="FG7" s="297"/>
      <c r="FH7" s="297"/>
    </row>
    <row r="8" spans="2:56" ht="5.25" customHeight="1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1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</row>
    <row r="9" spans="2:56" ht="15.75" customHeight="1">
      <c r="B9" s="294" t="str">
        <f>Språk!A28</f>
        <v>Typ av byggnad</v>
      </c>
      <c r="C9" s="295"/>
      <c r="D9" s="295"/>
      <c r="E9" s="295"/>
      <c r="F9" s="295"/>
      <c r="G9" s="295"/>
      <c r="H9" s="295"/>
      <c r="I9" s="144"/>
      <c r="J9" s="295" t="str">
        <f>Språk!A29</f>
        <v>Bostäder</v>
      </c>
      <c r="K9" s="295"/>
      <c r="L9" s="295"/>
      <c r="M9" s="295"/>
      <c r="N9" s="295"/>
      <c r="O9" s="295"/>
      <c r="P9" s="144"/>
      <c r="Q9" s="295" t="str">
        <f>Språk!A31</f>
        <v>Sjukhus</v>
      </c>
      <c r="R9" s="295"/>
      <c r="S9" s="295"/>
      <c r="T9" s="295"/>
      <c r="U9" s="295"/>
      <c r="V9" s="145"/>
      <c r="W9" s="145"/>
      <c r="X9" s="295" t="str">
        <f>Språk!A30</f>
        <v>Köpcenter</v>
      </c>
      <c r="Y9" s="295"/>
      <c r="Z9" s="295"/>
      <c r="AA9" s="295"/>
      <c r="AB9" s="295"/>
      <c r="AC9" s="295"/>
      <c r="AD9" s="295"/>
      <c r="AE9" s="295"/>
      <c r="AF9" s="296"/>
      <c r="AG9" s="145"/>
      <c r="AH9" s="295" t="str">
        <f>Språk!A32</f>
        <v>flygplats/ tågstation/tunnelbana</v>
      </c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144"/>
      <c r="AV9" s="276" t="str">
        <f>Språk!A33</f>
        <v>Annan</v>
      </c>
      <c r="AW9" s="276"/>
      <c r="AX9" s="276"/>
      <c r="AY9" s="277"/>
      <c r="AZ9" s="277"/>
      <c r="BA9" s="277"/>
      <c r="BB9" s="277"/>
      <c r="BC9" s="277"/>
      <c r="BD9" s="278"/>
    </row>
    <row r="10" spans="2:56" ht="15.75" customHeight="1">
      <c r="B10" s="213" t="str">
        <f>Språk!A22</f>
        <v>Provision </v>
      </c>
      <c r="C10" s="209"/>
      <c r="D10" s="209"/>
      <c r="E10" s="209"/>
      <c r="F10" s="209"/>
      <c r="G10" s="209"/>
      <c r="H10" s="209"/>
      <c r="I10" s="146"/>
      <c r="J10" s="220" t="str">
        <f>Språk!A25</f>
        <v>Goods/passenger lift</v>
      </c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53"/>
      <c r="V10" s="115"/>
      <c r="W10" s="115"/>
      <c r="X10" s="220" t="str">
        <f>Språk!A26</f>
        <v>Goods/passenger (Fork lift)</v>
      </c>
      <c r="Y10" s="220"/>
      <c r="Z10" s="220"/>
      <c r="AA10" s="220"/>
      <c r="AB10" s="220"/>
      <c r="AC10" s="220"/>
      <c r="AD10" s="220"/>
      <c r="AE10" s="220"/>
      <c r="AF10" s="221"/>
      <c r="AG10" s="215"/>
      <c r="AH10" s="215"/>
      <c r="AI10" s="104"/>
      <c r="AJ10" s="209" t="str">
        <f>Språk!A27</f>
        <v>Vehicle lift</v>
      </c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5" t="str">
        <f>Språk!A33</f>
        <v>Annan</v>
      </c>
      <c r="AW10" s="205"/>
      <c r="AX10" s="205"/>
      <c r="AY10" s="206"/>
      <c r="AZ10" s="206"/>
      <c r="BA10" s="206"/>
      <c r="BB10" s="206"/>
      <c r="BC10" s="206"/>
      <c r="BD10" s="207"/>
    </row>
    <row r="11" spans="2:78" ht="15" customHeight="1">
      <c r="B11" s="213" t="str">
        <f>Språk!A45</f>
        <v>Enligt direktiv</v>
      </c>
      <c r="C11" s="215"/>
      <c r="D11" s="215"/>
      <c r="E11" s="215"/>
      <c r="F11" s="215"/>
      <c r="G11" s="215"/>
      <c r="H11" s="215"/>
      <c r="I11" s="215"/>
      <c r="J11" s="215"/>
      <c r="K11" s="112"/>
      <c r="L11" s="112"/>
      <c r="M11" s="209" t="str">
        <f>Språk!A46</f>
        <v>95/16.EN81.28</v>
      </c>
      <c r="N11" s="215"/>
      <c r="O11" s="215"/>
      <c r="P11" s="215"/>
      <c r="Q11" s="215"/>
      <c r="R11" s="215"/>
      <c r="S11" s="215"/>
      <c r="T11" s="112"/>
      <c r="U11" s="209" t="str">
        <f>Språk!A47</f>
        <v>EN81.21</v>
      </c>
      <c r="V11" s="215"/>
      <c r="W11" s="215"/>
      <c r="X11" s="215"/>
      <c r="Y11" s="215"/>
      <c r="Z11" s="215"/>
      <c r="AA11" s="209" t="str">
        <f>Språk!A48</f>
        <v>EN81.70</v>
      </c>
      <c r="AB11" s="215"/>
      <c r="AC11" s="215"/>
      <c r="AD11" s="215"/>
      <c r="AE11" s="215"/>
      <c r="AF11" s="215"/>
      <c r="AG11" s="115"/>
      <c r="AH11" s="220" t="str">
        <f>Språk!A49</f>
        <v>EN.81.73</v>
      </c>
      <c r="AI11" s="220"/>
      <c r="AJ11" s="220"/>
      <c r="AK11" s="220"/>
      <c r="AL11" s="220"/>
      <c r="AM11" s="220"/>
      <c r="AN11" s="112"/>
      <c r="AO11" s="112"/>
      <c r="AP11" s="112"/>
      <c r="AQ11" s="112"/>
      <c r="AR11" s="112"/>
      <c r="AS11" s="112"/>
      <c r="AT11" s="112"/>
      <c r="AU11" s="146"/>
      <c r="AV11" s="53"/>
      <c r="AW11" s="53"/>
      <c r="AX11" s="53"/>
      <c r="AY11" s="146"/>
      <c r="AZ11" s="146"/>
      <c r="BA11" s="146"/>
      <c r="BB11" s="146"/>
      <c r="BC11" s="146"/>
      <c r="BD11" s="147"/>
      <c r="BV11" s="88"/>
      <c r="BW11" s="88"/>
      <c r="BX11" s="88"/>
      <c r="BY11" s="88"/>
      <c r="BZ11" s="88"/>
    </row>
    <row r="12" spans="2:56" ht="4.5" customHeight="1">
      <c r="B12" s="148"/>
      <c r="C12" s="82"/>
      <c r="D12" s="82"/>
      <c r="E12" s="82"/>
      <c r="F12" s="82"/>
      <c r="G12" s="82"/>
      <c r="H12" s="82"/>
      <c r="I12" s="82"/>
      <c r="J12" s="82"/>
      <c r="K12" s="112"/>
      <c r="L12" s="112"/>
      <c r="M12" s="112"/>
      <c r="N12" s="82"/>
      <c r="O12" s="82"/>
      <c r="P12" s="82"/>
      <c r="Q12" s="82"/>
      <c r="R12" s="82"/>
      <c r="S12" s="82"/>
      <c r="T12" s="112"/>
      <c r="U12" s="112"/>
      <c r="V12" s="82"/>
      <c r="W12" s="82"/>
      <c r="X12" s="82"/>
      <c r="Y12" s="82"/>
      <c r="Z12" s="82"/>
      <c r="AA12" s="112"/>
      <c r="AB12" s="82"/>
      <c r="AC12" s="82"/>
      <c r="AD12" s="82"/>
      <c r="AE12" s="82"/>
      <c r="AF12" s="82"/>
      <c r="AG12" s="115"/>
      <c r="AH12" s="75"/>
      <c r="AI12" s="75"/>
      <c r="AJ12" s="75"/>
      <c r="AK12" s="75"/>
      <c r="AL12" s="75"/>
      <c r="AM12" s="75"/>
      <c r="AN12" s="112"/>
      <c r="AO12" s="112"/>
      <c r="AP12" s="112"/>
      <c r="AQ12" s="112"/>
      <c r="AR12" s="112"/>
      <c r="AS12" s="112"/>
      <c r="AT12" s="112"/>
      <c r="AU12" s="146"/>
      <c r="AV12" s="53"/>
      <c r="AW12" s="53"/>
      <c r="AX12" s="53"/>
      <c r="AY12" s="146"/>
      <c r="AZ12" s="146"/>
      <c r="BA12" s="146"/>
      <c r="BB12" s="146"/>
      <c r="BC12" s="146"/>
      <c r="BD12" s="147"/>
    </row>
    <row r="13" spans="2:112" ht="12.75">
      <c r="B13" s="249" t="str">
        <f>Språk!A50</f>
        <v>Hydraulikdata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49" t="str">
        <f>Språk!A34</f>
        <v>SCHAKT INFORMATION</v>
      </c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1"/>
      <c r="BE13" s="84"/>
      <c r="BI13" s="105"/>
      <c r="BJ13" s="88"/>
      <c r="BK13" s="88"/>
      <c r="BL13" s="88"/>
      <c r="BM13" s="88"/>
      <c r="BN13" s="88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49"/>
      <c r="CH13" s="150"/>
      <c r="CI13" s="150"/>
      <c r="CJ13" s="150"/>
      <c r="CK13" s="150"/>
      <c r="CL13" s="150"/>
      <c r="CM13" s="150"/>
      <c r="CN13" s="150"/>
      <c r="CO13" s="150"/>
      <c r="CP13" s="88"/>
      <c r="CQ13" s="88"/>
      <c r="CR13" s="105"/>
      <c r="CS13" s="88"/>
      <c r="CT13" s="151"/>
      <c r="CU13" s="152"/>
      <c r="CV13" s="152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</row>
    <row r="14" spans="2:112" ht="6" customHeight="1">
      <c r="B14" s="56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55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53"/>
      <c r="BE14" s="84"/>
      <c r="BI14" s="105"/>
      <c r="BJ14" s="88"/>
      <c r="BK14" s="88"/>
      <c r="BL14" s="88"/>
      <c r="BM14" s="88"/>
      <c r="BN14" s="88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88"/>
      <c r="CA14" s="105"/>
      <c r="CB14" s="105"/>
      <c r="CC14" s="105"/>
      <c r="CD14" s="105"/>
      <c r="CE14" s="105"/>
      <c r="CF14" s="105"/>
      <c r="CG14" s="149"/>
      <c r="CH14" s="150"/>
      <c r="CI14" s="150"/>
      <c r="CJ14" s="150"/>
      <c r="CK14" s="150"/>
      <c r="CL14" s="150"/>
      <c r="CM14" s="150"/>
      <c r="CN14" s="150"/>
      <c r="CO14" s="150"/>
      <c r="CP14" s="88"/>
      <c r="CQ14" s="88"/>
      <c r="CR14" s="105"/>
      <c r="CS14" s="88"/>
      <c r="CT14" s="151"/>
      <c r="CU14" s="152"/>
      <c r="CV14" s="152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</row>
    <row r="15" spans="2:112" ht="12.75">
      <c r="B15" s="213" t="str">
        <f>Språk!A51</f>
        <v>Lyft systemet</v>
      </c>
      <c r="C15" s="209"/>
      <c r="D15" s="209"/>
      <c r="E15" s="209"/>
      <c r="F15" s="209"/>
      <c r="G15" s="209"/>
      <c r="H15" s="209"/>
      <c r="I15" s="82"/>
      <c r="J15" s="82"/>
      <c r="K15" s="209" t="str">
        <f>Språk!A52</f>
        <v>direkt (1:1)</v>
      </c>
      <c r="L15" s="209"/>
      <c r="M15" s="209"/>
      <c r="N15" s="209"/>
      <c r="O15" s="209"/>
      <c r="P15" s="82"/>
      <c r="Q15" s="209" t="str">
        <f>Språk!A53</f>
        <v>linhydraul (2:1)</v>
      </c>
      <c r="R15" s="209"/>
      <c r="S15" s="209"/>
      <c r="T15" s="209"/>
      <c r="U15" s="209"/>
      <c r="V15" s="215"/>
      <c r="W15" s="104"/>
      <c r="X15" s="234"/>
      <c r="Y15" s="234"/>
      <c r="Z15" s="234"/>
      <c r="AA15" s="234"/>
      <c r="AB15" s="234"/>
      <c r="AC15" s="234"/>
      <c r="AD15" s="267"/>
      <c r="AE15" s="267"/>
      <c r="AF15" s="234"/>
      <c r="AG15" s="234"/>
      <c r="AH15" s="234"/>
      <c r="AI15" s="234"/>
      <c r="AJ15" s="234"/>
      <c r="AK15" s="234"/>
      <c r="AL15" s="234"/>
      <c r="AM15" s="272"/>
      <c r="AN15" s="305" t="s">
        <v>225</v>
      </c>
      <c r="AO15" s="215"/>
      <c r="AP15" s="215"/>
      <c r="AQ15" s="215"/>
      <c r="AR15" s="215"/>
      <c r="AS15" s="215"/>
      <c r="AT15" s="201"/>
      <c r="AU15" s="216"/>
      <c r="AV15" s="217"/>
      <c r="AW15" s="82"/>
      <c r="AX15" s="302"/>
      <c r="AY15" s="302"/>
      <c r="AZ15" s="267"/>
      <c r="BA15" s="268"/>
      <c r="BB15" s="154" t="s">
        <v>3</v>
      </c>
      <c r="BC15" s="155" t="s">
        <v>53</v>
      </c>
      <c r="BD15" s="156"/>
      <c r="BE15" s="84"/>
      <c r="BI15" s="105"/>
      <c r="BJ15" s="88"/>
      <c r="BK15" s="88"/>
      <c r="BL15" s="88"/>
      <c r="BM15" s="88"/>
      <c r="BN15" s="88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88"/>
      <c r="CA15" s="105"/>
      <c r="CB15" s="105"/>
      <c r="CC15" s="105"/>
      <c r="CD15" s="105"/>
      <c r="CE15" s="105"/>
      <c r="CF15" s="105"/>
      <c r="CG15" s="105"/>
      <c r="CH15" s="150"/>
      <c r="CI15" s="150"/>
      <c r="CJ15" s="150"/>
      <c r="CK15" s="150"/>
      <c r="CL15" s="150"/>
      <c r="CM15" s="150"/>
      <c r="CN15" s="150"/>
      <c r="CO15" s="150"/>
      <c r="CP15" s="88"/>
      <c r="CQ15" s="88"/>
      <c r="CR15" s="105"/>
      <c r="CS15" s="88"/>
      <c r="CT15" s="152"/>
      <c r="CU15" s="152"/>
      <c r="CV15" s="152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</row>
    <row r="16" spans="2:112" ht="12.75">
      <c r="B16" s="213"/>
      <c r="C16" s="209"/>
      <c r="D16" s="209"/>
      <c r="E16" s="209"/>
      <c r="F16" s="209"/>
      <c r="G16" s="209"/>
      <c r="H16" s="209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7" t="s">
        <v>231</v>
      </c>
      <c r="AO16" s="104"/>
      <c r="AP16" s="104"/>
      <c r="AQ16" s="104"/>
      <c r="AR16" s="104"/>
      <c r="AS16" s="104"/>
      <c r="AT16" s="201"/>
      <c r="AU16" s="216"/>
      <c r="AV16" s="217"/>
      <c r="AW16" s="104"/>
      <c r="AX16" s="234" t="str">
        <f>Språk!A36</f>
        <v>Avstånd</v>
      </c>
      <c r="AY16" s="267"/>
      <c r="AZ16" s="267"/>
      <c r="BA16" s="268"/>
      <c r="BB16" s="201"/>
      <c r="BC16" s="202"/>
      <c r="BD16" s="158" t="s">
        <v>196</v>
      </c>
      <c r="BE16" s="84"/>
      <c r="BI16" s="105"/>
      <c r="BJ16" s="88"/>
      <c r="BK16" s="88"/>
      <c r="BL16" s="88"/>
      <c r="BM16" s="88"/>
      <c r="BN16" s="88"/>
      <c r="BO16" s="105"/>
      <c r="BP16" s="105"/>
      <c r="BQ16" s="105"/>
      <c r="BR16" s="105"/>
      <c r="BS16" s="105"/>
      <c r="BT16" s="105"/>
      <c r="BU16" s="105"/>
      <c r="BV16" s="105"/>
      <c r="BW16" s="149"/>
      <c r="BX16" s="105"/>
      <c r="BY16" s="150"/>
      <c r="BZ16" s="88"/>
      <c r="CA16" s="150"/>
      <c r="CB16" s="150"/>
      <c r="CC16" s="150"/>
      <c r="CD16" s="150"/>
      <c r="CE16" s="150"/>
      <c r="CF16" s="150"/>
      <c r="CG16" s="105"/>
      <c r="CH16" s="105"/>
      <c r="CI16" s="105"/>
      <c r="CJ16" s="150"/>
      <c r="CK16" s="150"/>
      <c r="CL16" s="105"/>
      <c r="CM16" s="150"/>
      <c r="CN16" s="159"/>
      <c r="CO16" s="150"/>
      <c r="CP16" s="88"/>
      <c r="CQ16" s="88"/>
      <c r="CR16" s="105"/>
      <c r="CS16" s="105"/>
      <c r="CT16" s="105"/>
      <c r="CU16" s="105"/>
      <c r="CV16" s="105"/>
      <c r="CW16" s="132"/>
      <c r="CX16" s="132"/>
      <c r="CY16" s="132"/>
      <c r="CZ16" s="132"/>
      <c r="DA16" s="132"/>
      <c r="DB16" s="132"/>
      <c r="DC16" s="132"/>
      <c r="DD16" s="132"/>
      <c r="DE16" s="105"/>
      <c r="DF16" s="105"/>
      <c r="DG16" s="159"/>
      <c r="DH16" s="105"/>
    </row>
    <row r="17" spans="2:112" ht="12.75">
      <c r="B17" s="213" t="str">
        <f>Språk!A57</f>
        <v>Märkhastighet:</v>
      </c>
      <c r="C17" s="209"/>
      <c r="D17" s="209"/>
      <c r="E17" s="209"/>
      <c r="F17" s="209"/>
      <c r="G17" s="209"/>
      <c r="H17" s="209"/>
      <c r="I17" s="82"/>
      <c r="J17" s="228"/>
      <c r="K17" s="228"/>
      <c r="L17" s="228"/>
      <c r="M17" s="228"/>
      <c r="N17" s="228"/>
      <c r="O17" s="228"/>
      <c r="P17" s="112" t="s">
        <v>297</v>
      </c>
      <c r="Q17" s="82"/>
      <c r="R17" s="82"/>
      <c r="S17" s="82"/>
      <c r="T17" s="82"/>
      <c r="U17" s="104"/>
      <c r="V17" s="205" t="str">
        <f>Språk!A56</f>
        <v>Märklast:</v>
      </c>
      <c r="W17" s="205"/>
      <c r="X17" s="205"/>
      <c r="Y17" s="205"/>
      <c r="Z17" s="205"/>
      <c r="AA17" s="205"/>
      <c r="AB17" s="205"/>
      <c r="AC17" s="273"/>
      <c r="AD17" s="273"/>
      <c r="AE17" s="228"/>
      <c r="AF17" s="229"/>
      <c r="AG17" s="229"/>
      <c r="AH17" s="229"/>
      <c r="AI17" s="229"/>
      <c r="AJ17" s="111" t="s">
        <v>303</v>
      </c>
      <c r="AK17" s="104"/>
      <c r="AL17" s="104"/>
      <c r="AM17" s="104"/>
      <c r="AN17" s="208" t="str">
        <f>Språk!A43</f>
        <v>Antal plan</v>
      </c>
      <c r="AO17" s="209"/>
      <c r="AP17" s="209"/>
      <c r="AQ17" s="209"/>
      <c r="AR17" s="209"/>
      <c r="AS17" s="210"/>
      <c r="AT17" s="201"/>
      <c r="AU17" s="216"/>
      <c r="AV17" s="217"/>
      <c r="AW17" s="160"/>
      <c r="AX17" s="77"/>
      <c r="AY17" s="77"/>
      <c r="AZ17" s="234">
        <v>7</v>
      </c>
      <c r="BA17" s="234"/>
      <c r="BB17" s="161"/>
      <c r="BC17" s="162"/>
      <c r="BD17" s="158"/>
      <c r="BE17" s="84"/>
      <c r="BI17" s="105"/>
      <c r="BJ17" s="88"/>
      <c r="BK17" s="88"/>
      <c r="BL17" s="88"/>
      <c r="BM17" s="88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88"/>
      <c r="CS17" s="88"/>
      <c r="CT17" s="88"/>
      <c r="CU17" s="88"/>
      <c r="CV17" s="88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</row>
    <row r="18" spans="2:112" ht="12.75">
      <c r="B18" s="213" t="str">
        <f>Språk!A58</f>
        <v>Spänning, matning:</v>
      </c>
      <c r="C18" s="209"/>
      <c r="D18" s="209"/>
      <c r="E18" s="209"/>
      <c r="F18" s="209"/>
      <c r="G18" s="209"/>
      <c r="H18" s="209"/>
      <c r="I18" s="215"/>
      <c r="J18" s="215"/>
      <c r="K18" s="215"/>
      <c r="L18" s="215"/>
      <c r="M18" s="215"/>
      <c r="N18" s="215"/>
      <c r="O18" s="209" t="s">
        <v>832</v>
      </c>
      <c r="P18" s="209"/>
      <c r="Q18" s="209"/>
      <c r="R18" s="209"/>
      <c r="S18" s="209"/>
      <c r="T18" s="209"/>
      <c r="U18" s="209"/>
      <c r="V18" s="209"/>
      <c r="W18" s="209" t="s">
        <v>839</v>
      </c>
      <c r="X18" s="209"/>
      <c r="Y18" s="209"/>
      <c r="Z18" s="209"/>
      <c r="AA18" s="215"/>
      <c r="AB18" s="104"/>
      <c r="AC18" s="104"/>
      <c r="AD18" s="104"/>
      <c r="AE18" s="104"/>
      <c r="AF18" s="209"/>
      <c r="AG18" s="209"/>
      <c r="AH18" s="209"/>
      <c r="AI18" s="209"/>
      <c r="AJ18" s="104"/>
      <c r="AK18" s="104"/>
      <c r="AL18" s="104"/>
      <c r="AM18" s="163"/>
      <c r="AN18" s="208" t="str">
        <f>Språk!A44</f>
        <v>Antal dörrar</v>
      </c>
      <c r="AO18" s="209"/>
      <c r="AP18" s="209"/>
      <c r="AQ18" s="209"/>
      <c r="AR18" s="209"/>
      <c r="AS18" s="210"/>
      <c r="AT18" s="201"/>
      <c r="AU18" s="216"/>
      <c r="AV18" s="217"/>
      <c r="AW18" s="82"/>
      <c r="AX18" s="234" t="str">
        <f>Språk!A36</f>
        <v>Avstånd</v>
      </c>
      <c r="AY18" s="267"/>
      <c r="AZ18" s="267"/>
      <c r="BA18" s="268"/>
      <c r="BB18" s="201"/>
      <c r="BC18" s="202"/>
      <c r="BD18" s="158" t="s">
        <v>196</v>
      </c>
      <c r="BE18" s="84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</row>
    <row r="19" spans="2:112" ht="12.75">
      <c r="B19" s="213" t="str">
        <f>Språk!A59</f>
        <v>Avstånd mellan schakt och MR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28"/>
      <c r="R19" s="229"/>
      <c r="S19" s="229"/>
      <c r="T19" s="229"/>
      <c r="U19" s="111" t="s">
        <v>305</v>
      </c>
      <c r="V19" s="104"/>
      <c r="W19" s="104"/>
      <c r="X19" s="209" t="str">
        <f>Språk!A60</f>
        <v>Maskinrumsplacering</v>
      </c>
      <c r="Y19" s="209"/>
      <c r="Z19" s="209"/>
      <c r="AA19" s="209"/>
      <c r="AB19" s="209"/>
      <c r="AC19" s="209"/>
      <c r="AD19" s="209"/>
      <c r="AE19" s="209"/>
      <c r="AF19" s="209"/>
      <c r="AG19" s="104"/>
      <c r="AH19" s="205" t="str">
        <f>Språk!A61</f>
        <v>Plan</v>
      </c>
      <c r="AI19" s="306"/>
      <c r="AJ19" s="320"/>
      <c r="AK19" s="321"/>
      <c r="AL19" s="322"/>
      <c r="AM19" s="104"/>
      <c r="AN19" s="164"/>
      <c r="AO19" s="104"/>
      <c r="AP19" s="104"/>
      <c r="AQ19" s="104"/>
      <c r="AR19" s="104"/>
      <c r="AS19" s="104"/>
      <c r="AT19" s="104"/>
      <c r="AU19" s="104"/>
      <c r="AV19" s="104"/>
      <c r="AW19" s="82"/>
      <c r="AX19" s="77"/>
      <c r="AY19" s="77"/>
      <c r="AZ19" s="234">
        <v>6</v>
      </c>
      <c r="BA19" s="234"/>
      <c r="BB19" s="165"/>
      <c r="BC19" s="166"/>
      <c r="BD19" s="158"/>
      <c r="BE19" s="84"/>
      <c r="BI19" s="105"/>
      <c r="BJ19" s="88"/>
      <c r="BK19" s="88"/>
      <c r="BL19" s="88"/>
      <c r="BM19" s="88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50"/>
      <c r="CG19" s="105"/>
      <c r="CH19" s="150"/>
      <c r="CI19" s="105"/>
      <c r="CJ19" s="150"/>
      <c r="CK19" s="105"/>
      <c r="CL19" s="105"/>
      <c r="CM19" s="150"/>
      <c r="CN19" s="105"/>
      <c r="CO19" s="105"/>
      <c r="CP19" s="105"/>
      <c r="CQ19" s="105"/>
      <c r="CR19" s="88"/>
      <c r="CS19" s="88"/>
      <c r="CT19" s="88"/>
      <c r="CU19" s="88"/>
      <c r="CV19" s="88"/>
      <c r="CW19" s="88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</row>
    <row r="20" spans="2:112" ht="12.75">
      <c r="B20" s="148"/>
      <c r="C20" s="11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319" t="str">
        <f>Språk!A42</f>
        <v>Ingång-/ar</v>
      </c>
      <c r="AO20" s="234"/>
      <c r="AP20" s="234"/>
      <c r="AQ20" s="234"/>
      <c r="AR20" s="234"/>
      <c r="AS20" s="234"/>
      <c r="AT20" s="234"/>
      <c r="AU20" s="234"/>
      <c r="AV20" s="77"/>
      <c r="AW20" s="82"/>
      <c r="AX20" s="234" t="str">
        <f>Språk!A36</f>
        <v>Avstånd</v>
      </c>
      <c r="AY20" s="267"/>
      <c r="AZ20" s="267"/>
      <c r="BA20" s="268"/>
      <c r="BB20" s="201"/>
      <c r="BC20" s="202"/>
      <c r="BD20" s="158" t="s">
        <v>196</v>
      </c>
      <c r="BE20" s="84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50"/>
      <c r="CG20" s="105"/>
      <c r="CH20" s="150"/>
      <c r="CI20" s="105"/>
      <c r="CJ20" s="150"/>
      <c r="CK20" s="105"/>
      <c r="CL20" s="105"/>
      <c r="CM20" s="105"/>
      <c r="CN20" s="105"/>
      <c r="CO20" s="105"/>
      <c r="CP20" s="105"/>
      <c r="CQ20" s="105"/>
      <c r="CR20" s="88"/>
      <c r="CS20" s="88"/>
      <c r="CT20" s="88"/>
      <c r="CU20" s="88"/>
      <c r="CV20" s="105"/>
      <c r="CW20" s="105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</row>
    <row r="21" spans="2:112" ht="12.75">
      <c r="B21" s="265" t="str">
        <f>Språk!A62</f>
        <v>TILLVAL</v>
      </c>
      <c r="C21" s="266"/>
      <c r="D21" s="266"/>
      <c r="E21" s="26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8"/>
      <c r="AN21" s="164"/>
      <c r="AO21" s="104"/>
      <c r="AP21" s="104"/>
      <c r="AQ21" s="104"/>
      <c r="AR21" s="104"/>
      <c r="AS21" s="104"/>
      <c r="AT21" s="82"/>
      <c r="AU21" s="157"/>
      <c r="AV21" s="77"/>
      <c r="AW21" s="77"/>
      <c r="AX21" s="77"/>
      <c r="AY21" s="77"/>
      <c r="AZ21" s="234">
        <v>5</v>
      </c>
      <c r="BA21" s="234"/>
      <c r="BB21" s="165"/>
      <c r="BC21" s="166"/>
      <c r="BD21" s="158"/>
      <c r="BE21" s="84"/>
      <c r="BI21" s="105"/>
      <c r="BJ21" s="88"/>
      <c r="BK21" s="88"/>
      <c r="BL21" s="88"/>
      <c r="BM21" s="88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50"/>
      <c r="CG21" s="105"/>
      <c r="CH21" s="150"/>
      <c r="CI21" s="105"/>
      <c r="CJ21" s="150"/>
      <c r="CK21" s="105"/>
      <c r="CL21" s="105"/>
      <c r="CM21" s="105"/>
      <c r="CN21" s="105"/>
      <c r="CO21" s="105"/>
      <c r="CP21" s="105"/>
      <c r="CQ21" s="105"/>
      <c r="CR21" s="88"/>
      <c r="CS21" s="88"/>
      <c r="CT21" s="88"/>
      <c r="CU21" s="88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</row>
    <row r="22" spans="2:112" ht="12.75">
      <c r="B22" s="199"/>
      <c r="C22" s="196"/>
      <c r="D22" s="224" t="str">
        <f>Språk!A63</f>
        <v>Tankvärmare inkl termostat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196"/>
      <c r="V22" s="224" t="str">
        <f>Språk!A66</f>
        <v>Anslutning oljekylare</v>
      </c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69"/>
      <c r="AN22" s="164"/>
      <c r="AO22" s="104"/>
      <c r="AP22" s="104"/>
      <c r="AQ22" s="104"/>
      <c r="AR22" s="104"/>
      <c r="AS22" s="104"/>
      <c r="AT22" s="104"/>
      <c r="AU22" s="104"/>
      <c r="AV22" s="77"/>
      <c r="AW22" s="77"/>
      <c r="AX22" s="234" t="str">
        <f>Språk!A36</f>
        <v>Avstånd</v>
      </c>
      <c r="AY22" s="267"/>
      <c r="AZ22" s="267"/>
      <c r="BA22" s="268"/>
      <c r="BB22" s="201"/>
      <c r="BC22" s="202"/>
      <c r="BD22" s="158" t="s">
        <v>196</v>
      </c>
      <c r="BE22" s="84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88"/>
      <c r="CS22" s="88"/>
      <c r="CT22" s="88"/>
      <c r="CU22" s="88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</row>
    <row r="23" spans="2:96" ht="12.75">
      <c r="B23" s="199"/>
      <c r="C23" s="196"/>
      <c r="D23" s="224" t="str">
        <f>Språk!A64</f>
        <v>Elektrisk oljenivåvakt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196"/>
      <c r="V23" s="224" t="str">
        <f>Språk!A67</f>
        <v>Termostat för oljekylare</v>
      </c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69"/>
      <c r="AN23" s="164"/>
      <c r="AO23" s="104"/>
      <c r="AP23" s="104"/>
      <c r="AQ23" s="104"/>
      <c r="AR23" s="104"/>
      <c r="AS23" s="104"/>
      <c r="AT23" s="82"/>
      <c r="AU23" s="157"/>
      <c r="AV23" s="77"/>
      <c r="AW23" s="77"/>
      <c r="AX23" s="77"/>
      <c r="AY23" s="77"/>
      <c r="AZ23" s="234">
        <v>4</v>
      </c>
      <c r="BA23" s="234"/>
      <c r="BB23" s="165"/>
      <c r="BC23" s="166"/>
      <c r="BD23" s="158"/>
      <c r="BE23" s="84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</row>
    <row r="24" spans="2:96" ht="12.75">
      <c r="B24" s="199"/>
      <c r="C24" s="196"/>
      <c r="D24" s="224" t="str">
        <f>Språk!A65</f>
        <v>Visuell oljenivågivare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196"/>
      <c r="V24" s="224" t="str">
        <f>Språk!A68</f>
        <v>Hydraulolja:</v>
      </c>
      <c r="W24" s="270"/>
      <c r="X24" s="270"/>
      <c r="Y24" s="270"/>
      <c r="Z24" s="270"/>
      <c r="AA24" s="270"/>
      <c r="AB24" s="270"/>
      <c r="AC24" s="271"/>
      <c r="AD24" s="310"/>
      <c r="AE24" s="311"/>
      <c r="AF24" s="312"/>
      <c r="AG24" s="323" t="str">
        <f>Språk!A69</f>
        <v>st, 20 l dunk</v>
      </c>
      <c r="AH24" s="323"/>
      <c r="AI24" s="323"/>
      <c r="AJ24" s="323"/>
      <c r="AK24" s="323"/>
      <c r="AL24" s="323"/>
      <c r="AM24" s="324"/>
      <c r="AN24" s="164"/>
      <c r="AO24" s="104"/>
      <c r="AP24" s="104"/>
      <c r="AQ24" s="104"/>
      <c r="AR24" s="104"/>
      <c r="AS24" s="104"/>
      <c r="AT24" s="82"/>
      <c r="AU24" s="157"/>
      <c r="AV24" s="77"/>
      <c r="AW24" s="77"/>
      <c r="AX24" s="234" t="str">
        <f>Språk!A36</f>
        <v>Avstånd</v>
      </c>
      <c r="AY24" s="267"/>
      <c r="AZ24" s="267"/>
      <c r="BA24" s="268"/>
      <c r="BB24" s="201"/>
      <c r="BC24" s="202"/>
      <c r="BD24" s="158" t="s">
        <v>326</v>
      </c>
      <c r="BE24" s="84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</row>
    <row r="25" spans="2:96" ht="12.75">
      <c r="B25" s="199"/>
      <c r="C25" s="196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64"/>
      <c r="AO25" s="104"/>
      <c r="AP25" s="104"/>
      <c r="AQ25" s="104"/>
      <c r="AR25" s="104"/>
      <c r="AS25" s="104"/>
      <c r="AT25" s="104"/>
      <c r="AU25" s="104"/>
      <c r="AV25" s="104"/>
      <c r="AW25" s="104"/>
      <c r="AX25" s="77"/>
      <c r="AY25" s="77"/>
      <c r="AZ25" s="234">
        <v>3</v>
      </c>
      <c r="BA25" s="234"/>
      <c r="BB25" s="165"/>
      <c r="BC25" s="166"/>
      <c r="BD25" s="158"/>
      <c r="BE25" s="88"/>
      <c r="BM25" s="105"/>
      <c r="BN25" s="105"/>
      <c r="BO25" s="105"/>
      <c r="BP25" s="105"/>
      <c r="BQ25" s="88"/>
      <c r="BR25" s="88"/>
      <c r="BS25" s="88"/>
      <c r="BT25" s="88"/>
      <c r="BU25" s="105"/>
      <c r="BV25" s="88"/>
      <c r="BW25" s="88"/>
      <c r="BX25" s="88"/>
      <c r="BY25" s="88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</row>
    <row r="26" spans="2:96" ht="12.75">
      <c r="B26" s="265" t="str">
        <f>Språk!A75</f>
        <v>ELSTYRNING</v>
      </c>
      <c r="C26" s="266"/>
      <c r="D26" s="266"/>
      <c r="E26" s="266"/>
      <c r="F26" s="307"/>
      <c r="G26" s="307"/>
      <c r="H26" s="270"/>
      <c r="I26" s="270"/>
      <c r="J26" s="270"/>
      <c r="K26" s="270"/>
      <c r="L26" s="270"/>
      <c r="M26" s="27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208" t="str">
        <f>Språk!A35</f>
        <v>Topp</v>
      </c>
      <c r="AO26" s="209"/>
      <c r="AP26" s="209"/>
      <c r="AQ26" s="209"/>
      <c r="AR26" s="209"/>
      <c r="AS26" s="210"/>
      <c r="AT26" s="201"/>
      <c r="AU26" s="308"/>
      <c r="AV26" s="309"/>
      <c r="AW26" s="104"/>
      <c r="AX26" s="234" t="str">
        <f>Språk!A36</f>
        <v>Avstånd</v>
      </c>
      <c r="AY26" s="267"/>
      <c r="AZ26" s="267"/>
      <c r="BA26" s="268"/>
      <c r="BB26" s="201"/>
      <c r="BC26" s="202"/>
      <c r="BD26" s="158" t="s">
        <v>196</v>
      </c>
      <c r="BE26" s="88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</row>
    <row r="27" spans="2:96" ht="12.75">
      <c r="B27" s="222" t="str">
        <f>Språk!A76</f>
        <v>Styrsystem</v>
      </c>
      <c r="C27" s="223"/>
      <c r="D27" s="223"/>
      <c r="E27" s="223"/>
      <c r="F27" s="223"/>
      <c r="G27" s="223"/>
      <c r="H27" s="190"/>
      <c r="I27" s="190"/>
      <c r="J27" s="190"/>
      <c r="K27" s="190"/>
      <c r="L27" s="190"/>
      <c r="M27" s="190"/>
      <c r="N27" s="190"/>
      <c r="O27" s="224" t="str">
        <f>Språk!A77</f>
        <v>Direkt UPB </v>
      </c>
      <c r="P27" s="225"/>
      <c r="Q27" s="225"/>
      <c r="R27" s="225"/>
      <c r="S27" s="225"/>
      <c r="T27" s="190"/>
      <c r="U27" s="190"/>
      <c r="V27" s="190"/>
      <c r="W27" s="200" t="str">
        <f>Språk!A78</f>
        <v>Nedkollektiv</v>
      </c>
      <c r="X27" s="190"/>
      <c r="Y27" s="190"/>
      <c r="Z27" s="190"/>
      <c r="AA27" s="190"/>
      <c r="AB27" s="190"/>
      <c r="AC27" s="190"/>
      <c r="AD27" s="190"/>
      <c r="AE27" s="190"/>
      <c r="AF27" s="224" t="str">
        <f>Språk!A79</f>
        <v>Fullkollektiv</v>
      </c>
      <c r="AG27" s="225"/>
      <c r="AH27" s="225"/>
      <c r="AI27" s="225"/>
      <c r="AJ27" s="225"/>
      <c r="AK27" s="225"/>
      <c r="AL27" s="225"/>
      <c r="AM27" s="198"/>
      <c r="AN27" s="208" t="str">
        <f>Språk!A37</f>
        <v>Lyfthöjd</v>
      </c>
      <c r="AO27" s="209"/>
      <c r="AP27" s="209"/>
      <c r="AQ27" s="209"/>
      <c r="AR27" s="209"/>
      <c r="AS27" s="210"/>
      <c r="AT27" s="201"/>
      <c r="AU27" s="308"/>
      <c r="AV27" s="309"/>
      <c r="AW27" s="104"/>
      <c r="AX27" s="77"/>
      <c r="AY27" s="77"/>
      <c r="AZ27" s="234">
        <v>2</v>
      </c>
      <c r="BA27" s="234"/>
      <c r="BB27" s="165"/>
      <c r="BC27" s="166"/>
      <c r="BD27" s="158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</row>
    <row r="28" spans="2:56" ht="12.75">
      <c r="B28" s="222" t="str">
        <f>Språk!A80</f>
        <v>Indikering- Huvudplan</v>
      </c>
      <c r="C28" s="226"/>
      <c r="D28" s="226"/>
      <c r="E28" s="226"/>
      <c r="F28" s="226"/>
      <c r="G28" s="226"/>
      <c r="H28" s="226"/>
      <c r="I28" s="226"/>
      <c r="J28" s="225"/>
      <c r="K28" s="225"/>
      <c r="L28" s="225"/>
      <c r="M28" s="225"/>
      <c r="N28" s="190"/>
      <c r="O28" s="224" t="str">
        <f>Språk!A82</f>
        <v>Pilar (std)</v>
      </c>
      <c r="P28" s="226"/>
      <c r="Q28" s="226"/>
      <c r="R28" s="226"/>
      <c r="S28" s="226"/>
      <c r="T28" s="190"/>
      <c r="U28" s="190"/>
      <c r="V28" s="190"/>
      <c r="W28" s="224" t="str">
        <f>Språk!A83</f>
        <v>Våningsvisare</v>
      </c>
      <c r="X28" s="226"/>
      <c r="Y28" s="226"/>
      <c r="Z28" s="226"/>
      <c r="AA28" s="226"/>
      <c r="AB28" s="226"/>
      <c r="AC28" s="226"/>
      <c r="AD28" s="190"/>
      <c r="AE28" s="190"/>
      <c r="AF28" s="224" t="str">
        <f>Språk!A84</f>
        <v>Pilar+Våningsvisare</v>
      </c>
      <c r="AG28" s="225"/>
      <c r="AH28" s="225"/>
      <c r="AI28" s="225"/>
      <c r="AJ28" s="225"/>
      <c r="AK28" s="225"/>
      <c r="AL28" s="225"/>
      <c r="AM28" s="269"/>
      <c r="AN28" s="208" t="str">
        <f>Språk!A38</f>
        <v>Grop</v>
      </c>
      <c r="AO28" s="209"/>
      <c r="AP28" s="209"/>
      <c r="AQ28" s="209"/>
      <c r="AR28" s="209"/>
      <c r="AS28" s="210"/>
      <c r="AT28" s="201"/>
      <c r="AU28" s="308"/>
      <c r="AV28" s="309"/>
      <c r="AW28" s="104"/>
      <c r="AX28" s="234" t="str">
        <f>Språk!A36</f>
        <v>Avstånd</v>
      </c>
      <c r="AY28" s="267"/>
      <c r="AZ28" s="267"/>
      <c r="BA28" s="268"/>
      <c r="BB28" s="201"/>
      <c r="BC28" s="202"/>
      <c r="BD28" s="158" t="s">
        <v>196</v>
      </c>
    </row>
    <row r="29" spans="2:56" ht="12.75" customHeight="1">
      <c r="B29" s="222" t="str">
        <f>Språk!A81</f>
        <v>Indikering- Övriga plan</v>
      </c>
      <c r="C29" s="226"/>
      <c r="D29" s="226"/>
      <c r="E29" s="226"/>
      <c r="F29" s="226"/>
      <c r="G29" s="226"/>
      <c r="H29" s="226"/>
      <c r="I29" s="226"/>
      <c r="J29" s="225"/>
      <c r="K29" s="225"/>
      <c r="L29" s="225"/>
      <c r="M29" s="225"/>
      <c r="N29" s="200"/>
      <c r="O29" s="224" t="s">
        <v>407</v>
      </c>
      <c r="P29" s="225"/>
      <c r="Q29" s="225"/>
      <c r="R29" s="225"/>
      <c r="S29" s="200"/>
      <c r="T29" s="200"/>
      <c r="U29" s="200"/>
      <c r="V29" s="200"/>
      <c r="W29" s="224" t="str">
        <f>Språk!A83</f>
        <v>Våningsvisare</v>
      </c>
      <c r="X29" s="226"/>
      <c r="Y29" s="226"/>
      <c r="Z29" s="226"/>
      <c r="AA29" s="226"/>
      <c r="AB29" s="226"/>
      <c r="AC29" s="226"/>
      <c r="AD29" s="200"/>
      <c r="AE29" s="200"/>
      <c r="AF29" s="224" t="str">
        <f>Språk!A84</f>
        <v>Pilar+Våningsvisare</v>
      </c>
      <c r="AG29" s="225"/>
      <c r="AH29" s="225"/>
      <c r="AI29" s="225"/>
      <c r="AJ29" s="225"/>
      <c r="AK29" s="225"/>
      <c r="AL29" s="225"/>
      <c r="AM29" s="269"/>
      <c r="AN29" s="208" t="str">
        <f>Språk!A39</f>
        <v>Schakthöjd</v>
      </c>
      <c r="AO29" s="209"/>
      <c r="AP29" s="209"/>
      <c r="AQ29" s="209"/>
      <c r="AR29" s="209"/>
      <c r="AS29" s="210"/>
      <c r="AT29" s="316">
        <f>AT26+AT27+AT28</f>
        <v>0</v>
      </c>
      <c r="AU29" s="317"/>
      <c r="AV29" s="318"/>
      <c r="AW29" s="104"/>
      <c r="AX29" s="77"/>
      <c r="AY29" s="77"/>
      <c r="AZ29" s="234">
        <v>1</v>
      </c>
      <c r="BA29" s="272"/>
      <c r="BB29" s="165"/>
      <c r="BC29" s="166"/>
      <c r="BD29" s="167"/>
    </row>
    <row r="30" spans="2:56" ht="7.5" customHeight="1">
      <c r="B30" s="191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8"/>
      <c r="AN30" s="168"/>
      <c r="AO30" s="169"/>
      <c r="AP30" s="169"/>
      <c r="AQ30" s="169"/>
      <c r="AR30" s="169"/>
      <c r="AS30" s="169"/>
      <c r="AT30" s="170"/>
      <c r="AU30" s="171"/>
      <c r="AV30" s="171"/>
      <c r="AW30" s="172"/>
      <c r="AX30" s="173"/>
      <c r="AY30" s="173"/>
      <c r="AZ30" s="174"/>
      <c r="BA30" s="174"/>
      <c r="BB30" s="175"/>
      <c r="BC30" s="175"/>
      <c r="BD30" s="176"/>
    </row>
    <row r="31" spans="2:56" s="105" customFormat="1" ht="12.75">
      <c r="B31" s="222" t="str">
        <f>Språk!A62</f>
        <v>TILLVAL</v>
      </c>
      <c r="C31" s="226"/>
      <c r="D31" s="226"/>
      <c r="E31" s="226"/>
      <c r="F31" s="226"/>
      <c r="G31" s="190"/>
      <c r="H31" s="190"/>
      <c r="I31" s="190"/>
      <c r="J31" s="190"/>
      <c r="K31" s="190"/>
      <c r="L31" s="190"/>
      <c r="M31" s="190"/>
      <c r="N31" s="190"/>
      <c r="O31" s="224" t="str">
        <f>Språk!A72</f>
        <v>Safeline intercom</v>
      </c>
      <c r="P31" s="226"/>
      <c r="Q31" s="226"/>
      <c r="R31" s="226"/>
      <c r="S31" s="226"/>
      <c r="T31" s="226"/>
      <c r="U31" s="226"/>
      <c r="V31" s="225"/>
      <c r="W31" s="225"/>
      <c r="X31" s="225"/>
      <c r="Y31" s="225"/>
      <c r="Z31" s="190"/>
      <c r="AA31" s="224" t="str">
        <f>Språk!A71</f>
        <v>Larmtelefon Safeline SL6 GSM</v>
      </c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5"/>
      <c r="AO31" s="190"/>
      <c r="AP31" s="313" t="str">
        <f>Språk!A70</f>
        <v>Larmtelefon Safeline SL6 PSTN</v>
      </c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5"/>
    </row>
    <row r="32" spans="2:56" s="105" customFormat="1" ht="12.75">
      <c r="B32" s="191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224" t="str">
        <f>Språk!A87</f>
        <v>Timer (korgbelysning)</v>
      </c>
      <c r="P32" s="226"/>
      <c r="Q32" s="226"/>
      <c r="R32" s="226"/>
      <c r="S32" s="226"/>
      <c r="T32" s="226"/>
      <c r="U32" s="226"/>
      <c r="V32" s="226"/>
      <c r="W32" s="226"/>
      <c r="X32" s="226"/>
      <c r="Y32" s="190"/>
      <c r="Z32" s="190"/>
      <c r="AA32" s="224" t="str">
        <f>Språk!A85</f>
        <v>Stängningsknapp</v>
      </c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190"/>
      <c r="AO32" s="190"/>
      <c r="AP32" s="224" t="str">
        <f>Språk!A90</f>
        <v>Prioritetsanrop (sjukhus)</v>
      </c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192"/>
    </row>
    <row r="33" spans="2:56" s="105" customFormat="1" ht="12.75">
      <c r="B33" s="191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224" t="str">
        <f>Språk!A86</f>
        <v>Extra korgtablå (Bilhiss)</v>
      </c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190"/>
      <c r="AJ33" s="224" t="str">
        <f>Språk!A88</f>
        <v>Trafikljus i korg  röd/grön (Bilhiss)</v>
      </c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64"/>
    </row>
    <row r="34" spans="2:56" s="105" customFormat="1" ht="12.75">
      <c r="B34" s="222"/>
      <c r="C34" s="223"/>
      <c r="D34" s="223"/>
      <c r="E34" s="223"/>
      <c r="F34" s="190"/>
      <c r="G34" s="190"/>
      <c r="H34" s="190"/>
      <c r="I34" s="190"/>
      <c r="J34" s="190"/>
      <c r="K34" s="190"/>
      <c r="L34" s="190"/>
      <c r="M34" s="190"/>
      <c r="N34" s="190"/>
      <c r="O34" s="224" t="str">
        <f>Språk!A89</f>
        <v>Städnyckel</v>
      </c>
      <c r="P34" s="226"/>
      <c r="Q34" s="226"/>
      <c r="R34" s="226"/>
      <c r="S34" s="226"/>
      <c r="T34" s="226"/>
      <c r="U34" s="226"/>
      <c r="V34" s="226"/>
      <c r="W34" s="226"/>
      <c r="X34" s="226"/>
      <c r="Y34" s="190"/>
      <c r="Z34" s="190"/>
      <c r="AA34" s="224" t="str">
        <f>Språk!A73</f>
        <v>Halogenfritt kablage</v>
      </c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190"/>
      <c r="AN34" s="190"/>
      <c r="AO34" s="190"/>
      <c r="AP34" s="224" t="str">
        <f>Språk!A74</f>
        <v> Separat elskåp</v>
      </c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190"/>
      <c r="BD34" s="192"/>
    </row>
    <row r="35" spans="2:56" s="105" customFormat="1" ht="4.5" customHeight="1">
      <c r="B35" s="193"/>
      <c r="C35" s="194"/>
      <c r="D35" s="194"/>
      <c r="E35" s="194"/>
      <c r="F35" s="190"/>
      <c r="G35" s="190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0"/>
      <c r="V35" s="190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0"/>
      <c r="AH35" s="195"/>
      <c r="AI35" s="196"/>
      <c r="AJ35" s="196"/>
      <c r="AK35" s="196"/>
      <c r="AL35" s="196"/>
      <c r="AM35" s="196"/>
      <c r="AN35" s="196"/>
      <c r="AO35" s="196"/>
      <c r="AP35" s="196"/>
      <c r="AQ35" s="196"/>
      <c r="AR35" s="190"/>
      <c r="AS35" s="190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7"/>
    </row>
    <row r="36" spans="2:92" s="105" customFormat="1" ht="14.25">
      <c r="B36" s="249" t="str">
        <f>Språk!A91</f>
        <v>AUTOMAT DÖRRAR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1"/>
      <c r="BE36" s="149"/>
      <c r="BG36" s="232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</row>
    <row r="37" spans="2:57" s="105" customFormat="1" ht="5.25" customHeight="1">
      <c r="B37" s="57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9"/>
      <c r="BE37" s="149"/>
    </row>
    <row r="38" spans="2:57" s="105" customFormat="1" ht="12.75">
      <c r="B38" s="213" t="str">
        <f>Språk!A92</f>
        <v>Typ av dörr</v>
      </c>
      <c r="C38" s="214"/>
      <c r="D38" s="214"/>
      <c r="E38" s="214"/>
      <c r="F38" s="215"/>
      <c r="G38" s="215"/>
      <c r="H38" s="104"/>
      <c r="I38" s="104"/>
      <c r="J38" s="104"/>
      <c r="K38" s="104"/>
      <c r="L38" s="104"/>
      <c r="M38" s="220" t="s">
        <v>467</v>
      </c>
      <c r="N38" s="221"/>
      <c r="O38" s="221"/>
      <c r="P38" s="104"/>
      <c r="Q38" s="104"/>
      <c r="R38" s="104"/>
      <c r="S38" s="104"/>
      <c r="T38" s="220" t="s">
        <v>466</v>
      </c>
      <c r="U38" s="221"/>
      <c r="V38" s="221"/>
      <c r="W38" s="104"/>
      <c r="X38" s="104"/>
      <c r="Y38" s="104"/>
      <c r="Z38" s="104"/>
      <c r="AA38" s="104"/>
      <c r="AB38" s="104"/>
      <c r="AC38" s="104"/>
      <c r="AD38" s="220" t="s">
        <v>864</v>
      </c>
      <c r="AE38" s="221"/>
      <c r="AF38" s="104"/>
      <c r="AG38" s="104"/>
      <c r="AH38" s="104"/>
      <c r="AI38" s="104"/>
      <c r="AJ38" s="104"/>
      <c r="AK38" s="104"/>
      <c r="AL38" s="104"/>
      <c r="AM38" s="104"/>
      <c r="AN38" s="209"/>
      <c r="AO38" s="215"/>
      <c r="AP38" s="215"/>
      <c r="AQ38" s="215"/>
      <c r="AR38" s="205"/>
      <c r="AS38" s="205"/>
      <c r="AT38" s="205"/>
      <c r="AU38" s="205"/>
      <c r="AV38" s="205"/>
      <c r="AW38" s="205"/>
      <c r="AX38" s="205"/>
      <c r="AY38" s="263"/>
      <c r="AZ38" s="263"/>
      <c r="BA38" s="263"/>
      <c r="BB38" s="263"/>
      <c r="BC38" s="263"/>
      <c r="BD38" s="263"/>
      <c r="BE38" s="149"/>
    </row>
    <row r="39" spans="2:56" ht="12.75">
      <c r="B39" s="213" t="str">
        <f>Språk!A93</f>
        <v>Dörr bredd </v>
      </c>
      <c r="C39" s="214"/>
      <c r="D39" s="214"/>
      <c r="E39" s="214"/>
      <c r="F39" s="215"/>
      <c r="G39" s="215"/>
      <c r="H39" s="104"/>
      <c r="I39" s="104"/>
      <c r="J39" s="104"/>
      <c r="K39" s="104"/>
      <c r="L39" s="218"/>
      <c r="M39" s="218"/>
      <c r="N39" s="218"/>
      <c r="O39" s="218"/>
      <c r="P39" s="88"/>
      <c r="Q39" s="104"/>
      <c r="R39" s="104"/>
      <c r="S39" s="104"/>
      <c r="T39" s="220"/>
      <c r="U39" s="221"/>
      <c r="V39" s="221"/>
      <c r="W39" s="104"/>
      <c r="X39" s="104"/>
      <c r="Y39" s="104"/>
      <c r="Z39" s="104"/>
      <c r="AA39" s="104"/>
      <c r="AB39" s="104"/>
      <c r="AC39" s="104"/>
      <c r="AD39" s="220"/>
      <c r="AE39" s="221"/>
      <c r="AF39" s="221"/>
      <c r="AG39" s="221"/>
      <c r="AH39" s="104"/>
      <c r="AI39" s="209"/>
      <c r="AJ39" s="215"/>
      <c r="AK39" s="215"/>
      <c r="AL39" s="215"/>
      <c r="AM39" s="104"/>
      <c r="AN39" s="220"/>
      <c r="AO39" s="221"/>
      <c r="AP39" s="221"/>
      <c r="AQ39" s="221"/>
      <c r="AR39" s="205"/>
      <c r="AS39" s="205"/>
      <c r="AT39" s="205"/>
      <c r="AU39" s="205"/>
      <c r="AV39" s="205"/>
      <c r="AW39" s="205"/>
      <c r="AX39" s="205"/>
      <c r="AY39" s="206"/>
      <c r="AZ39" s="206"/>
      <c r="BA39" s="206"/>
      <c r="BB39" s="206"/>
      <c r="BC39" s="206"/>
      <c r="BD39" s="207"/>
    </row>
    <row r="40" spans="2:56" ht="12.75">
      <c r="B40" s="213" t="str">
        <f>Språk!A94</f>
        <v>Dörrhöjd </v>
      </c>
      <c r="C40" s="214"/>
      <c r="D40" s="214"/>
      <c r="E40" s="214"/>
      <c r="F40" s="215"/>
      <c r="G40" s="215"/>
      <c r="H40" s="104"/>
      <c r="I40" s="104"/>
      <c r="J40" s="104"/>
      <c r="K40" s="104"/>
      <c r="L40" s="219"/>
      <c r="M40" s="219"/>
      <c r="N40" s="219"/>
      <c r="O40" s="219"/>
      <c r="P40" s="88"/>
      <c r="Q40" s="104"/>
      <c r="R40" s="104"/>
      <c r="S40" s="104"/>
      <c r="T40" s="220"/>
      <c r="U40" s="221"/>
      <c r="V40" s="221"/>
      <c r="W40" s="104"/>
      <c r="X40" s="104"/>
      <c r="Y40" s="104"/>
      <c r="Z40" s="104"/>
      <c r="AA40" s="104"/>
      <c r="AB40" s="104"/>
      <c r="AC40" s="104"/>
      <c r="AD40" s="220"/>
      <c r="AE40" s="221"/>
      <c r="AF40" s="221"/>
      <c r="AG40" s="221"/>
      <c r="AH40" s="104"/>
      <c r="AI40" s="104"/>
      <c r="AJ40" s="104"/>
      <c r="AK40" s="104"/>
      <c r="AL40" s="104"/>
      <c r="AM40" s="104"/>
      <c r="AN40" s="220"/>
      <c r="AO40" s="221"/>
      <c r="AP40" s="221"/>
      <c r="AQ40" s="221"/>
      <c r="AR40" s="205"/>
      <c r="AS40" s="205"/>
      <c r="AT40" s="205"/>
      <c r="AU40" s="205"/>
      <c r="AV40" s="205"/>
      <c r="AW40" s="205"/>
      <c r="AX40" s="205"/>
      <c r="AY40" s="206"/>
      <c r="AZ40" s="206"/>
      <c r="BA40" s="206"/>
      <c r="BB40" s="206"/>
      <c r="BC40" s="206"/>
      <c r="BD40" s="207"/>
    </row>
    <row r="41" spans="2:56" ht="12.75">
      <c r="B41" s="211" t="str">
        <f>Språk!A96</f>
        <v>Korgdörr/-ar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112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77"/>
    </row>
    <row r="42" spans="2:58" ht="12.75">
      <c r="B42" s="213" t="str">
        <f>Språk!A97</f>
        <v>Välj dörrfabrikat</v>
      </c>
      <c r="C42" s="214"/>
      <c r="D42" s="214"/>
      <c r="E42" s="214"/>
      <c r="F42" s="215"/>
      <c r="G42" s="215"/>
      <c r="H42" s="215"/>
      <c r="I42" s="215"/>
      <c r="J42" s="215"/>
      <c r="K42" s="235"/>
      <c r="L42" s="235"/>
      <c r="M42" s="235"/>
      <c r="N42" s="235"/>
      <c r="O42" s="104"/>
      <c r="P42" s="104"/>
      <c r="Q42" s="209" t="s">
        <v>591</v>
      </c>
      <c r="R42" s="246"/>
      <c r="S42" s="246"/>
      <c r="T42" s="246"/>
      <c r="U42" s="246"/>
      <c r="V42" s="246"/>
      <c r="W42" s="82"/>
      <c r="X42" s="82"/>
      <c r="Y42" s="82"/>
      <c r="Z42" s="82"/>
      <c r="AA42" s="82"/>
      <c r="AB42" s="104"/>
      <c r="AC42" s="104"/>
      <c r="AD42" s="209" t="s">
        <v>590</v>
      </c>
      <c r="AE42" s="227"/>
      <c r="AF42" s="227"/>
      <c r="AG42" s="227"/>
      <c r="AH42" s="227"/>
      <c r="AI42" s="227"/>
      <c r="AJ42" s="227"/>
      <c r="AK42" s="227"/>
      <c r="AL42" s="104"/>
      <c r="AM42" s="104"/>
      <c r="AN42" s="209"/>
      <c r="AO42" s="227"/>
      <c r="AP42" s="227"/>
      <c r="AQ42" s="227"/>
      <c r="AR42" s="227"/>
      <c r="AS42" s="227"/>
      <c r="AT42" s="104"/>
      <c r="AU42" s="234"/>
      <c r="AV42" s="237"/>
      <c r="AW42" s="237"/>
      <c r="AX42" s="237"/>
      <c r="AY42" s="206"/>
      <c r="AZ42" s="206"/>
      <c r="BA42" s="206"/>
      <c r="BB42" s="206"/>
      <c r="BC42" s="206"/>
      <c r="BD42" s="207"/>
      <c r="BE42" s="88"/>
      <c r="BF42" s="88"/>
    </row>
    <row r="43" spans="2:58" ht="12.75">
      <c r="B43" s="213" t="str">
        <f>Språk!A99</f>
        <v>Korgdörr finish</v>
      </c>
      <c r="C43" s="214"/>
      <c r="D43" s="214"/>
      <c r="E43" s="214"/>
      <c r="F43" s="215"/>
      <c r="G43" s="215"/>
      <c r="H43" s="215"/>
      <c r="I43" s="215"/>
      <c r="J43" s="215"/>
      <c r="K43" s="104"/>
      <c r="L43" s="104"/>
      <c r="M43" s="104"/>
      <c r="N43" s="104"/>
      <c r="O43" s="104"/>
      <c r="P43" s="104"/>
      <c r="Q43" s="209" t="s">
        <v>865</v>
      </c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104"/>
      <c r="AC43" s="104"/>
      <c r="AD43" s="112" t="s">
        <v>866</v>
      </c>
      <c r="AE43" s="187"/>
      <c r="AF43" s="187"/>
      <c r="AG43" s="187"/>
      <c r="AH43" s="187"/>
      <c r="AI43" s="149"/>
      <c r="AJ43" s="149"/>
      <c r="AK43" s="149"/>
      <c r="AL43" s="149"/>
      <c r="AM43" s="104"/>
      <c r="AN43" s="112"/>
      <c r="AO43" s="187"/>
      <c r="AP43" s="187"/>
      <c r="AQ43" s="187"/>
      <c r="AR43" s="104"/>
      <c r="AS43" s="104"/>
      <c r="AT43" s="104"/>
      <c r="AU43" s="209"/>
      <c r="AV43" s="209"/>
      <c r="AW43" s="209"/>
      <c r="AX43" s="209"/>
      <c r="AY43" s="209"/>
      <c r="AZ43" s="238"/>
      <c r="BA43" s="238"/>
      <c r="BB43" s="238"/>
      <c r="BC43" s="238"/>
      <c r="BD43" s="239"/>
      <c r="BE43" s="84"/>
      <c r="BF43" s="84"/>
    </row>
    <row r="44" spans="2:93" ht="14.25">
      <c r="B44" s="211" t="str">
        <f>Språk!A104</f>
        <v>Schaktdörrar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104"/>
      <c r="O44" s="104"/>
      <c r="P44" s="104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27"/>
      <c r="BE44" s="84"/>
      <c r="BF44" s="84"/>
      <c r="BG44" s="232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40"/>
    </row>
    <row r="45" spans="2:58" ht="12.75">
      <c r="B45" s="213"/>
      <c r="C45" s="214"/>
      <c r="D45" s="214"/>
      <c r="E45" s="214"/>
      <c r="F45" s="215"/>
      <c r="G45" s="215"/>
      <c r="H45" s="215"/>
      <c r="I45" s="215"/>
      <c r="J45" s="215"/>
      <c r="K45" s="235"/>
      <c r="L45" s="235"/>
      <c r="M45" s="235"/>
      <c r="N45" s="235"/>
      <c r="O45" s="104"/>
      <c r="P45" s="104"/>
      <c r="Q45" s="209"/>
      <c r="R45" s="246"/>
      <c r="S45" s="246"/>
      <c r="T45" s="246"/>
      <c r="U45" s="246"/>
      <c r="V45" s="246"/>
      <c r="W45" s="246"/>
      <c r="X45" s="246"/>
      <c r="Y45" s="246"/>
      <c r="Z45" s="82"/>
      <c r="AA45" s="82"/>
      <c r="AB45" s="104"/>
      <c r="AC45" s="104"/>
      <c r="AD45" s="209"/>
      <c r="AE45" s="227"/>
      <c r="AF45" s="227"/>
      <c r="AG45" s="227"/>
      <c r="AH45" s="227"/>
      <c r="AI45" s="227"/>
      <c r="AJ45" s="227"/>
      <c r="AK45" s="227"/>
      <c r="AL45" s="104"/>
      <c r="AM45" s="104"/>
      <c r="AN45" s="209"/>
      <c r="AO45" s="227"/>
      <c r="AP45" s="227"/>
      <c r="AQ45" s="227"/>
      <c r="AR45" s="227"/>
      <c r="AS45" s="104"/>
      <c r="AT45" s="104"/>
      <c r="AU45" s="205"/>
      <c r="AV45" s="236"/>
      <c r="AW45" s="236"/>
      <c r="AX45" s="236"/>
      <c r="AY45" s="206"/>
      <c r="AZ45" s="206"/>
      <c r="BA45" s="206"/>
      <c r="BB45" s="206"/>
      <c r="BC45" s="206"/>
      <c r="BD45" s="207"/>
      <c r="BE45" s="84"/>
      <c r="BF45" s="84"/>
    </row>
    <row r="46" spans="2:58" ht="12.75" customHeight="1">
      <c r="B46" s="213"/>
      <c r="C46" s="227"/>
      <c r="D46" s="227"/>
      <c r="E46" s="227"/>
      <c r="F46" s="227"/>
      <c r="G46" s="227"/>
      <c r="H46" s="227"/>
      <c r="I46" s="227"/>
      <c r="J46" s="227"/>
      <c r="K46" s="227"/>
      <c r="L46" s="88"/>
      <c r="M46" s="88"/>
      <c r="N46" s="88"/>
      <c r="O46" s="104"/>
      <c r="P46" s="104"/>
      <c r="Q46" s="112"/>
      <c r="R46" s="116"/>
      <c r="S46" s="116"/>
      <c r="T46" s="116"/>
      <c r="U46" s="116"/>
      <c r="V46" s="116"/>
      <c r="W46" s="116"/>
      <c r="X46" s="116"/>
      <c r="Y46" s="116"/>
      <c r="Z46" s="104"/>
      <c r="AA46" s="104"/>
      <c r="AB46" s="104"/>
      <c r="AC46" s="104"/>
      <c r="AD46" s="104"/>
      <c r="AE46" s="112"/>
      <c r="AF46" s="116"/>
      <c r="AG46" s="116"/>
      <c r="AH46" s="116"/>
      <c r="AI46" s="116"/>
      <c r="AJ46" s="116"/>
      <c r="AK46" s="116"/>
      <c r="AL46" s="104"/>
      <c r="AM46" s="104"/>
      <c r="AN46" s="104"/>
      <c r="AO46" s="104"/>
      <c r="AP46" s="104"/>
      <c r="AQ46" s="104"/>
      <c r="AR46" s="104"/>
      <c r="AS46" s="104"/>
      <c r="AT46" s="104"/>
      <c r="AU46" s="76"/>
      <c r="AV46" s="128"/>
      <c r="AW46" s="128"/>
      <c r="AX46" s="128"/>
      <c r="AY46" s="77"/>
      <c r="AZ46" s="82"/>
      <c r="BA46" s="82"/>
      <c r="BB46" s="82"/>
      <c r="BC46" s="82"/>
      <c r="BD46" s="89"/>
      <c r="BE46" s="84"/>
      <c r="BF46" s="84"/>
    </row>
    <row r="47" spans="2:58" ht="12.75">
      <c r="B47" s="213" t="str">
        <f>Språk!A106</f>
        <v>Schaktdörr- Typ</v>
      </c>
      <c r="C47" s="214"/>
      <c r="D47" s="214"/>
      <c r="E47" s="214"/>
      <c r="F47" s="215"/>
      <c r="G47" s="215"/>
      <c r="H47" s="215"/>
      <c r="I47" s="215"/>
      <c r="J47" s="215"/>
      <c r="K47" s="104"/>
      <c r="L47" s="104"/>
      <c r="M47" s="104"/>
      <c r="N47" s="104"/>
      <c r="O47" s="104"/>
      <c r="P47" s="104"/>
      <c r="Q47" s="220" t="str">
        <f>Språk!A107</f>
        <v>Karm (standard)</v>
      </c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104"/>
      <c r="AC47" s="104"/>
      <c r="AD47" s="112"/>
      <c r="AE47" s="187"/>
      <c r="AF47" s="187"/>
      <c r="AG47" s="187"/>
      <c r="AH47" s="187"/>
      <c r="AI47" s="187"/>
      <c r="AJ47" s="187"/>
      <c r="AK47" s="187"/>
      <c r="AL47" s="104"/>
      <c r="AM47" s="104"/>
      <c r="AN47" s="209"/>
      <c r="AO47" s="227"/>
      <c r="AP47" s="227"/>
      <c r="AQ47" s="227"/>
      <c r="AR47" s="227"/>
      <c r="AS47" s="227"/>
      <c r="AT47" s="227"/>
      <c r="AU47" s="227"/>
      <c r="AV47" s="104"/>
      <c r="AW47" s="76"/>
      <c r="AX47" s="104"/>
      <c r="AY47" s="188"/>
      <c r="AZ47" s="188"/>
      <c r="BA47" s="188"/>
      <c r="BB47" s="111"/>
      <c r="BC47" s="104"/>
      <c r="BD47" s="127"/>
      <c r="BE47" s="84"/>
      <c r="BF47" s="84"/>
    </row>
    <row r="48" spans="2:72" ht="12.75">
      <c r="B48" s="213" t="str">
        <f>Språk!A110</f>
        <v>Schaktdörr finish</v>
      </c>
      <c r="C48" s="214"/>
      <c r="D48" s="214"/>
      <c r="E48" s="214"/>
      <c r="F48" s="215"/>
      <c r="G48" s="215"/>
      <c r="H48" s="215"/>
      <c r="I48" s="215"/>
      <c r="J48" s="215"/>
      <c r="K48" s="104"/>
      <c r="L48" s="104"/>
      <c r="M48" s="104"/>
      <c r="N48" s="104"/>
      <c r="O48" s="104"/>
      <c r="P48" s="104"/>
      <c r="Q48" s="209" t="s">
        <v>867</v>
      </c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104"/>
      <c r="AC48" s="104"/>
      <c r="AD48" s="112" t="s">
        <v>866</v>
      </c>
      <c r="AE48" s="187"/>
      <c r="AF48" s="187"/>
      <c r="AG48" s="187"/>
      <c r="AH48" s="187"/>
      <c r="AI48" s="187"/>
      <c r="AJ48" s="187"/>
      <c r="AK48" s="187"/>
      <c r="AL48" s="104"/>
      <c r="AM48" s="104"/>
      <c r="AN48" s="209"/>
      <c r="AO48" s="227"/>
      <c r="AP48" s="227"/>
      <c r="AQ48" s="227"/>
      <c r="AR48" s="227"/>
      <c r="AS48" s="227"/>
      <c r="AT48" s="227"/>
      <c r="AU48" s="209"/>
      <c r="AV48" s="209"/>
      <c r="AW48" s="209"/>
      <c r="AX48" s="209"/>
      <c r="AY48" s="209"/>
      <c r="AZ48" s="206"/>
      <c r="BA48" s="206"/>
      <c r="BB48" s="206"/>
      <c r="BC48" s="206"/>
      <c r="BD48" s="207"/>
      <c r="BE48" s="84"/>
      <c r="BF48" s="84"/>
      <c r="BL48" s="105"/>
      <c r="BM48" s="150"/>
      <c r="BN48" s="150"/>
      <c r="BO48" s="105"/>
      <c r="BP48" s="105"/>
      <c r="BS48" s="105"/>
      <c r="BT48" s="105"/>
    </row>
    <row r="49" spans="2:72" ht="12.75">
      <c r="B49" s="213" t="str">
        <f>Språk!A111</f>
        <v>Brandklassning</v>
      </c>
      <c r="C49" s="214"/>
      <c r="D49" s="214"/>
      <c r="E49" s="214"/>
      <c r="F49" s="215"/>
      <c r="G49" s="215"/>
      <c r="H49" s="215"/>
      <c r="I49" s="215"/>
      <c r="J49" s="215"/>
      <c r="K49" s="104"/>
      <c r="L49" s="104"/>
      <c r="M49" s="104"/>
      <c r="N49" s="104"/>
      <c r="O49" s="104"/>
      <c r="P49" s="104"/>
      <c r="Q49" s="209" t="str">
        <f>Språk!A113</f>
        <v>NEJ</v>
      </c>
      <c r="R49" s="246"/>
      <c r="S49" s="246"/>
      <c r="T49" s="104"/>
      <c r="U49" s="104"/>
      <c r="V49" s="209" t="s">
        <v>602</v>
      </c>
      <c r="W49" s="227"/>
      <c r="X49" s="227"/>
      <c r="Y49" s="227"/>
      <c r="Z49" s="104"/>
      <c r="AA49" s="104"/>
      <c r="AB49" s="104"/>
      <c r="AC49" s="104"/>
      <c r="AD49" s="209" t="s">
        <v>603</v>
      </c>
      <c r="AE49" s="227"/>
      <c r="AF49" s="227"/>
      <c r="AG49" s="227"/>
      <c r="AH49" s="227"/>
      <c r="AI49" s="129"/>
      <c r="AJ49" s="104"/>
      <c r="AK49" s="82"/>
      <c r="AL49" s="104"/>
      <c r="AM49" s="104"/>
      <c r="AN49" s="209" t="s">
        <v>604</v>
      </c>
      <c r="AO49" s="227"/>
      <c r="AP49" s="227"/>
      <c r="AQ49" s="227"/>
      <c r="AR49" s="227"/>
      <c r="AS49" s="104"/>
      <c r="AT49" s="104"/>
      <c r="AU49" s="209" t="str">
        <f>Språk!A95</f>
        <v>Annan(kod):</v>
      </c>
      <c r="AV49" s="246"/>
      <c r="AW49" s="246"/>
      <c r="AX49" s="246"/>
      <c r="AY49" s="206"/>
      <c r="AZ49" s="206"/>
      <c r="BA49" s="206"/>
      <c r="BB49" s="206"/>
      <c r="BC49" s="206"/>
      <c r="BD49" s="207"/>
      <c r="BE49" s="84"/>
      <c r="BF49" s="84"/>
      <c r="BL49" s="105"/>
      <c r="BM49" s="150"/>
      <c r="BN49" s="150"/>
      <c r="BO49" s="150"/>
      <c r="BP49" s="105"/>
      <c r="BS49" s="105"/>
      <c r="BT49" s="105"/>
    </row>
    <row r="50" spans="2:72" ht="12.75">
      <c r="B50" s="213" t="str">
        <f>Språk!A129</f>
        <v>Tröskel</v>
      </c>
      <c r="C50" s="214"/>
      <c r="D50" s="214"/>
      <c r="E50" s="214"/>
      <c r="F50" s="215"/>
      <c r="G50" s="215"/>
      <c r="H50" s="215"/>
      <c r="I50" s="215"/>
      <c r="J50" s="215"/>
      <c r="K50" s="104"/>
      <c r="L50" s="104"/>
      <c r="M50" s="104"/>
      <c r="N50" s="105"/>
      <c r="O50" s="105"/>
      <c r="P50" s="105"/>
      <c r="Q50" s="116" t="s">
        <v>868</v>
      </c>
      <c r="R50" s="186"/>
      <c r="S50" s="186"/>
      <c r="T50" s="186"/>
      <c r="U50" s="104"/>
      <c r="V50" s="112"/>
      <c r="W50" s="186"/>
      <c r="X50" s="186"/>
      <c r="Y50" s="186"/>
      <c r="Z50" s="186"/>
      <c r="AA50" s="186"/>
      <c r="AB50" s="186"/>
      <c r="AC50" s="104"/>
      <c r="AD50" s="209" t="s">
        <v>869</v>
      </c>
      <c r="AE50" s="230"/>
      <c r="AF50" s="230"/>
      <c r="AG50" s="230"/>
      <c r="AH50" s="230"/>
      <c r="AI50" s="230"/>
      <c r="AJ50" s="230"/>
      <c r="AK50" s="230"/>
      <c r="AL50" s="230"/>
      <c r="AM50" s="104"/>
      <c r="AN50" s="209" t="s">
        <v>870</v>
      </c>
      <c r="AO50" s="230"/>
      <c r="AP50" s="230"/>
      <c r="AQ50" s="230"/>
      <c r="AR50" s="230"/>
      <c r="AS50" s="230"/>
      <c r="AT50" s="230"/>
      <c r="AU50" s="230"/>
      <c r="AV50" s="104"/>
      <c r="AW50" s="104"/>
      <c r="AX50" s="104"/>
      <c r="AY50" s="104"/>
      <c r="AZ50" s="104"/>
      <c r="BA50" s="104"/>
      <c r="BB50" s="104"/>
      <c r="BC50" s="104"/>
      <c r="BD50" s="127"/>
      <c r="BE50" s="84"/>
      <c r="BF50" s="84"/>
      <c r="BL50" s="105"/>
      <c r="BM50" s="150"/>
      <c r="BN50" s="150"/>
      <c r="BO50" s="150"/>
      <c r="BP50" s="105"/>
      <c r="BS50" s="105"/>
      <c r="BT50" s="105"/>
    </row>
    <row r="51" spans="2:72" ht="12" customHeight="1">
      <c r="B51" s="252"/>
      <c r="C51" s="253"/>
      <c r="D51" s="253"/>
      <c r="E51" s="253"/>
      <c r="F51" s="253"/>
      <c r="G51" s="253"/>
      <c r="H51" s="253"/>
      <c r="I51" s="253"/>
      <c r="J51" s="82"/>
      <c r="K51" s="104"/>
      <c r="L51" s="104"/>
      <c r="M51" s="104"/>
      <c r="N51" s="104"/>
      <c r="O51" s="104"/>
      <c r="P51" s="104"/>
      <c r="Q51" s="112"/>
      <c r="R51" s="116"/>
      <c r="S51" s="116"/>
      <c r="T51" s="116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12"/>
      <c r="AF51" s="116"/>
      <c r="AG51" s="116"/>
      <c r="AH51" s="116"/>
      <c r="AI51" s="116"/>
      <c r="AJ51" s="104"/>
      <c r="AK51" s="82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27"/>
      <c r="BE51" s="84"/>
      <c r="BF51" s="84"/>
      <c r="BL51" s="105"/>
      <c r="BM51" s="150"/>
      <c r="BN51" s="150"/>
      <c r="BO51" s="150"/>
      <c r="BP51" s="105"/>
      <c r="BS51" s="105"/>
      <c r="BT51" s="105"/>
    </row>
    <row r="52" spans="2:74" ht="12.75">
      <c r="B52" s="249" t="str">
        <f>Språk!A115</f>
        <v>KORG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1"/>
      <c r="BE52" s="84"/>
      <c r="BF52" s="84"/>
      <c r="BL52" s="105"/>
      <c r="BM52" s="105"/>
      <c r="BN52" s="105"/>
      <c r="BO52" s="105"/>
      <c r="BP52" s="105"/>
      <c r="BS52" s="105"/>
      <c r="BT52" s="105"/>
      <c r="BV52" s="105"/>
    </row>
    <row r="53" spans="2:72" ht="9" customHeight="1">
      <c r="B53" s="101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29"/>
      <c r="AI53" s="129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27"/>
      <c r="BE53" s="84"/>
      <c r="BF53" s="84"/>
      <c r="BL53" s="150"/>
      <c r="BM53" s="150"/>
      <c r="BN53" s="150"/>
      <c r="BO53" s="150"/>
      <c r="BP53" s="150"/>
      <c r="BS53" s="105"/>
      <c r="BT53" s="105"/>
    </row>
    <row r="54" spans="2:58" ht="12.75">
      <c r="B54" s="213" t="str">
        <f>Språk!A116</f>
        <v>Korgstorlek</v>
      </c>
      <c r="C54" s="209"/>
      <c r="D54" s="209"/>
      <c r="E54" s="209"/>
      <c r="F54" s="209"/>
      <c r="G54" s="209"/>
      <c r="H54" s="209"/>
      <c r="I54" s="209"/>
      <c r="J54" s="209"/>
      <c r="K54" s="104"/>
      <c r="L54" s="234" t="str">
        <f>Språk!A117</f>
        <v>B</v>
      </c>
      <c r="M54" s="248"/>
      <c r="N54" s="228"/>
      <c r="O54" s="229"/>
      <c r="P54" s="229"/>
      <c r="Q54" s="229"/>
      <c r="R54" s="111" t="s">
        <v>326</v>
      </c>
      <c r="S54" s="111"/>
      <c r="T54" s="111"/>
      <c r="U54" s="104"/>
      <c r="V54" s="104"/>
      <c r="W54" s="104"/>
      <c r="X54" s="104"/>
      <c r="Y54" s="104"/>
      <c r="Z54" s="234" t="str">
        <f>Språk!A118</f>
        <v>D</v>
      </c>
      <c r="AA54" s="248"/>
      <c r="AB54" s="228"/>
      <c r="AC54" s="229"/>
      <c r="AD54" s="229"/>
      <c r="AE54" s="229"/>
      <c r="AF54" s="111" t="s">
        <v>326</v>
      </c>
      <c r="AG54" s="111"/>
      <c r="AH54" s="104"/>
      <c r="AI54" s="104"/>
      <c r="AJ54" s="104"/>
      <c r="AK54" s="104"/>
      <c r="AL54" s="104"/>
      <c r="AM54" s="104"/>
      <c r="AN54" s="234" t="str">
        <f>Språk!A119</f>
        <v>H</v>
      </c>
      <c r="AO54" s="235"/>
      <c r="AP54" s="228"/>
      <c r="AQ54" s="229"/>
      <c r="AR54" s="229"/>
      <c r="AS54" s="229"/>
      <c r="AT54" s="111" t="s">
        <v>326</v>
      </c>
      <c r="AU54" s="111"/>
      <c r="AV54" s="111"/>
      <c r="AW54" s="104"/>
      <c r="AX54" s="104"/>
      <c r="AY54" s="104"/>
      <c r="AZ54" s="104"/>
      <c r="BA54" s="104"/>
      <c r="BB54" s="104"/>
      <c r="BC54" s="104"/>
      <c r="BD54" s="127"/>
      <c r="BE54" s="84"/>
      <c r="BF54" s="84"/>
    </row>
    <row r="55" spans="2:58" ht="12.75">
      <c r="B55" s="213"/>
      <c r="C55" s="209"/>
      <c r="D55" s="209"/>
      <c r="E55" s="209"/>
      <c r="F55" s="209"/>
      <c r="G55" s="209"/>
      <c r="H55" s="209"/>
      <c r="I55" s="209"/>
      <c r="J55" s="209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27"/>
      <c r="BE55" s="84"/>
      <c r="BF55" s="84"/>
    </row>
    <row r="56" spans="2:58" ht="12.75">
      <c r="B56" s="213" t="str">
        <f>Språk!A120</f>
        <v>Väggar:</v>
      </c>
      <c r="C56" s="209"/>
      <c r="D56" s="209"/>
      <c r="E56" s="209"/>
      <c r="F56" s="209"/>
      <c r="G56" s="209"/>
      <c r="H56" s="209"/>
      <c r="I56" s="209"/>
      <c r="J56" s="209"/>
      <c r="K56" s="104"/>
      <c r="L56" s="104"/>
      <c r="M56" s="104"/>
      <c r="N56" s="104"/>
      <c r="O56" s="104"/>
      <c r="P56" s="104"/>
      <c r="Q56" s="189" t="s">
        <v>871</v>
      </c>
      <c r="R56" s="112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04"/>
      <c r="AD56" s="112" t="s">
        <v>866</v>
      </c>
      <c r="AE56" s="187"/>
      <c r="AF56" s="187"/>
      <c r="AG56" s="187"/>
      <c r="AH56" s="187"/>
      <c r="AI56" s="187"/>
      <c r="AJ56" s="187"/>
      <c r="AK56" s="187"/>
      <c r="AL56" s="187"/>
      <c r="AM56" s="111"/>
      <c r="AN56" s="209"/>
      <c r="AO56" s="227"/>
      <c r="AP56" s="227"/>
      <c r="AQ56" s="227"/>
      <c r="AR56" s="227"/>
      <c r="AS56" s="227"/>
      <c r="AT56" s="227"/>
      <c r="AU56" s="205"/>
      <c r="AV56" s="205"/>
      <c r="AW56" s="205"/>
      <c r="AX56" s="205"/>
      <c r="AY56" s="205"/>
      <c r="AZ56" s="206"/>
      <c r="BA56" s="206"/>
      <c r="BB56" s="206"/>
      <c r="BC56" s="206"/>
      <c r="BD56" s="207"/>
      <c r="BE56" s="84"/>
      <c r="BF56" s="84"/>
    </row>
    <row r="57" spans="2:58" ht="12.75">
      <c r="B57" s="213" t="str">
        <f>Språk!A124</f>
        <v>Spegel</v>
      </c>
      <c r="C57" s="209"/>
      <c r="D57" s="209"/>
      <c r="E57" s="209"/>
      <c r="F57" s="209"/>
      <c r="G57" s="209"/>
      <c r="H57" s="209"/>
      <c r="I57" s="209"/>
      <c r="J57" s="209"/>
      <c r="K57" s="104"/>
      <c r="L57" s="104"/>
      <c r="M57" s="104"/>
      <c r="N57" s="104"/>
      <c r="O57" s="104"/>
      <c r="P57" s="104"/>
      <c r="Q57" s="104"/>
      <c r="R57" s="214" t="s">
        <v>678</v>
      </c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104"/>
      <c r="AD57" s="104"/>
      <c r="AE57" s="241" t="s">
        <v>679</v>
      </c>
      <c r="AF57" s="242"/>
      <c r="AG57" s="242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27"/>
      <c r="BE57" s="84"/>
      <c r="BF57" s="84"/>
    </row>
    <row r="58" spans="2:58" ht="12.75">
      <c r="B58" s="213"/>
      <c r="C58" s="209"/>
      <c r="D58" s="209"/>
      <c r="E58" s="209"/>
      <c r="F58" s="209"/>
      <c r="G58" s="209"/>
      <c r="H58" s="209"/>
      <c r="I58" s="209"/>
      <c r="J58" s="209"/>
      <c r="K58" s="104"/>
      <c r="L58" s="104"/>
      <c r="M58" s="104"/>
      <c r="N58" s="104"/>
      <c r="O58" s="104"/>
      <c r="P58" s="104"/>
      <c r="Q58" s="209" t="str">
        <f>Språk!A125</f>
        <v>Bakvägg</v>
      </c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104"/>
      <c r="AD58" s="209" t="str">
        <f>Språk!A126</f>
        <v>Sidovägg (motsatt COP)</v>
      </c>
      <c r="AE58" s="235"/>
      <c r="AF58" s="235"/>
      <c r="AG58" s="235"/>
      <c r="AH58" s="235"/>
      <c r="AI58" s="235"/>
      <c r="AJ58" s="235"/>
      <c r="AK58" s="235"/>
      <c r="AL58" s="235"/>
      <c r="AM58" s="104"/>
      <c r="AN58" s="209" t="str">
        <f>Språk!A127</f>
        <v>Sidovägg - COP sida</v>
      </c>
      <c r="AO58" s="227"/>
      <c r="AP58" s="227"/>
      <c r="AQ58" s="227"/>
      <c r="AR58" s="227"/>
      <c r="AS58" s="227"/>
      <c r="AT58" s="227"/>
      <c r="AU58" s="227"/>
      <c r="AV58" s="227"/>
      <c r="AW58" s="227"/>
      <c r="AX58" s="104"/>
      <c r="AY58" s="104"/>
      <c r="AZ58" s="104"/>
      <c r="BA58" s="104"/>
      <c r="BB58" s="104"/>
      <c r="BC58" s="104"/>
      <c r="BD58" s="127"/>
      <c r="BE58" s="84"/>
      <c r="BF58" s="84"/>
    </row>
    <row r="59" spans="2:58" ht="12.75">
      <c r="B59" s="213"/>
      <c r="C59" s="209"/>
      <c r="D59" s="209"/>
      <c r="E59" s="209"/>
      <c r="F59" s="209"/>
      <c r="G59" s="209"/>
      <c r="H59" s="209"/>
      <c r="I59" s="209"/>
      <c r="J59" s="209"/>
      <c r="K59" s="104"/>
      <c r="L59" s="104"/>
      <c r="M59" s="104"/>
      <c r="N59" s="104"/>
      <c r="O59" s="104"/>
      <c r="P59" s="104"/>
      <c r="Q59" s="209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104"/>
      <c r="AD59" s="209"/>
      <c r="AE59" s="235"/>
      <c r="AF59" s="235"/>
      <c r="AG59" s="235"/>
      <c r="AH59" s="235"/>
      <c r="AI59" s="235"/>
      <c r="AJ59" s="235"/>
      <c r="AK59" s="235"/>
      <c r="AL59" s="235"/>
      <c r="AM59" s="104"/>
      <c r="AN59" s="209"/>
      <c r="AO59" s="227"/>
      <c r="AP59" s="227"/>
      <c r="AQ59" s="227"/>
      <c r="AR59" s="227"/>
      <c r="AS59" s="227"/>
      <c r="AT59" s="227"/>
      <c r="AU59" s="227"/>
      <c r="AV59" s="227"/>
      <c r="AW59" s="227"/>
      <c r="AX59" s="104"/>
      <c r="AY59" s="104"/>
      <c r="AZ59" s="104"/>
      <c r="BA59" s="104"/>
      <c r="BB59" s="104"/>
      <c r="BC59" s="104"/>
      <c r="BD59" s="127"/>
      <c r="BE59" s="84"/>
      <c r="BF59" s="84"/>
    </row>
    <row r="60" spans="2:58" ht="12.75">
      <c r="B60" s="213" t="str">
        <f>Språk!A135</f>
        <v>Handledare</v>
      </c>
      <c r="C60" s="209"/>
      <c r="D60" s="209"/>
      <c r="E60" s="209"/>
      <c r="F60" s="209"/>
      <c r="G60" s="209"/>
      <c r="H60" s="209"/>
      <c r="I60" s="209"/>
      <c r="J60" s="209"/>
      <c r="K60" s="104"/>
      <c r="L60" s="104"/>
      <c r="M60" s="104"/>
      <c r="N60" s="104"/>
      <c r="O60" s="104"/>
      <c r="P60" s="104"/>
      <c r="Q60" s="209" t="str">
        <f>Språk!A125</f>
        <v>Bakvägg</v>
      </c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104"/>
      <c r="AD60" s="209" t="str">
        <f>Språk!A126</f>
        <v>Sidovägg (motsatt COP)</v>
      </c>
      <c r="AE60" s="235"/>
      <c r="AF60" s="235"/>
      <c r="AG60" s="235"/>
      <c r="AH60" s="235"/>
      <c r="AI60" s="235"/>
      <c r="AJ60" s="235"/>
      <c r="AK60" s="235"/>
      <c r="AL60" s="235"/>
      <c r="AM60" s="104"/>
      <c r="AN60" s="209" t="str">
        <f>Språk!A127</f>
        <v>Sidovägg - COP sida</v>
      </c>
      <c r="AO60" s="227"/>
      <c r="AP60" s="227"/>
      <c r="AQ60" s="227"/>
      <c r="AR60" s="227"/>
      <c r="AS60" s="227"/>
      <c r="AT60" s="227"/>
      <c r="AU60" s="227"/>
      <c r="AV60" s="227"/>
      <c r="AW60" s="227"/>
      <c r="AX60" s="104"/>
      <c r="AY60" s="104"/>
      <c r="AZ60" s="104"/>
      <c r="BA60" s="104"/>
      <c r="BB60" s="104"/>
      <c r="BC60" s="104"/>
      <c r="BD60" s="127"/>
      <c r="BE60" s="84"/>
      <c r="BF60" s="84"/>
    </row>
    <row r="61" spans="2:58" ht="9.75" customHeight="1">
      <c r="B61" s="213"/>
      <c r="C61" s="227"/>
      <c r="D61" s="227"/>
      <c r="E61" s="227"/>
      <c r="F61" s="227"/>
      <c r="G61" s="112"/>
      <c r="H61" s="112"/>
      <c r="I61" s="112"/>
      <c r="J61" s="112"/>
      <c r="K61" s="104"/>
      <c r="L61" s="104"/>
      <c r="M61" s="104"/>
      <c r="N61" s="104"/>
      <c r="O61" s="104"/>
      <c r="P61" s="104"/>
      <c r="Q61" s="325"/>
      <c r="R61" s="326"/>
      <c r="S61" s="326"/>
      <c r="T61" s="326"/>
      <c r="U61" s="326"/>
      <c r="V61" s="326"/>
      <c r="W61" s="116"/>
      <c r="X61" s="116"/>
      <c r="Y61" s="116"/>
      <c r="Z61" s="116"/>
      <c r="AA61" s="116"/>
      <c r="AB61" s="116"/>
      <c r="AC61" s="104"/>
      <c r="AD61" s="112"/>
      <c r="AE61" s="88"/>
      <c r="AF61" s="88"/>
      <c r="AG61" s="88"/>
      <c r="AH61" s="88"/>
      <c r="AI61" s="88"/>
      <c r="AJ61" s="88"/>
      <c r="AK61" s="88"/>
      <c r="AL61" s="88"/>
      <c r="AM61" s="104"/>
      <c r="AN61" s="104"/>
      <c r="AO61" s="112"/>
      <c r="AP61" s="116"/>
      <c r="AQ61" s="116"/>
      <c r="AR61" s="116"/>
      <c r="AS61" s="116"/>
      <c r="AT61" s="116"/>
      <c r="AU61" s="116"/>
      <c r="AV61" s="116"/>
      <c r="AW61" s="116"/>
      <c r="AX61" s="104"/>
      <c r="AY61" s="104"/>
      <c r="AZ61" s="104"/>
      <c r="BA61" s="104"/>
      <c r="BB61" s="104"/>
      <c r="BC61" s="104"/>
      <c r="BD61" s="127"/>
      <c r="BE61" s="84"/>
      <c r="BF61" s="84"/>
    </row>
    <row r="62" spans="2:59" ht="12.75">
      <c r="B62" s="213" t="str">
        <f>Språk!A136</f>
        <v>Golv</v>
      </c>
      <c r="C62" s="209"/>
      <c r="D62" s="209"/>
      <c r="E62" s="209"/>
      <c r="F62" s="209"/>
      <c r="G62" s="209"/>
      <c r="H62" s="209"/>
      <c r="I62" s="209"/>
      <c r="J62" s="209"/>
      <c r="K62" s="104"/>
      <c r="L62" s="104"/>
      <c r="M62" s="104"/>
      <c r="N62" s="104"/>
      <c r="O62" s="104"/>
      <c r="P62" s="104"/>
      <c r="Q62" s="209" t="s">
        <v>872</v>
      </c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104"/>
      <c r="AD62" s="51" t="s">
        <v>873</v>
      </c>
      <c r="AE62" s="105"/>
      <c r="AF62" s="51"/>
      <c r="AG62" s="105"/>
      <c r="AH62" s="105"/>
      <c r="AI62" s="105"/>
      <c r="AJ62" s="105"/>
      <c r="AK62" s="105"/>
      <c r="AL62" s="105"/>
      <c r="AM62" s="104"/>
      <c r="AN62" s="112" t="s">
        <v>874</v>
      </c>
      <c r="AO62" s="187"/>
      <c r="AP62" s="187"/>
      <c r="AQ62" s="187"/>
      <c r="AR62" s="187"/>
      <c r="AS62" s="187"/>
      <c r="AT62" s="104"/>
      <c r="AU62" s="112"/>
      <c r="AV62" s="112"/>
      <c r="AW62" s="112"/>
      <c r="AX62" s="112"/>
      <c r="AY62" s="112"/>
      <c r="AZ62" s="206"/>
      <c r="BA62" s="206"/>
      <c r="BB62" s="206"/>
      <c r="BC62" s="206"/>
      <c r="BD62" s="207"/>
      <c r="BE62" s="209"/>
      <c r="BF62" s="209"/>
      <c r="BG62" s="209"/>
    </row>
    <row r="63" spans="2:101" ht="14.25">
      <c r="B63" s="213" t="str">
        <f>Språk!A140</f>
        <v>Belysning:</v>
      </c>
      <c r="C63" s="209"/>
      <c r="D63" s="209"/>
      <c r="E63" s="209"/>
      <c r="F63" s="209"/>
      <c r="G63" s="209"/>
      <c r="H63" s="209"/>
      <c r="I63" s="209"/>
      <c r="J63" s="209"/>
      <c r="K63" s="104"/>
      <c r="L63" s="104"/>
      <c r="M63" s="104"/>
      <c r="N63" s="104"/>
      <c r="O63" s="104"/>
      <c r="P63" s="104"/>
      <c r="Q63" s="209" t="s">
        <v>875</v>
      </c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104"/>
      <c r="AD63" s="209" t="s">
        <v>876</v>
      </c>
      <c r="AE63" s="235"/>
      <c r="AF63" s="235"/>
      <c r="AG63" s="235"/>
      <c r="AH63" s="235"/>
      <c r="AI63" s="235"/>
      <c r="AJ63" s="235"/>
      <c r="AK63" s="235"/>
      <c r="AL63" s="235"/>
      <c r="AM63" s="104"/>
      <c r="AN63" s="209"/>
      <c r="AO63" s="227"/>
      <c r="AP63" s="227"/>
      <c r="AQ63" s="227"/>
      <c r="AR63" s="227"/>
      <c r="AS63" s="227"/>
      <c r="AT63" s="227"/>
      <c r="AU63" s="205"/>
      <c r="AV63" s="235"/>
      <c r="AW63" s="235"/>
      <c r="AX63" s="235"/>
      <c r="AY63" s="235"/>
      <c r="AZ63" s="206"/>
      <c r="BA63" s="206"/>
      <c r="BB63" s="206"/>
      <c r="BC63" s="206"/>
      <c r="BD63" s="207"/>
      <c r="BE63" s="84"/>
      <c r="BF63" s="84"/>
      <c r="BG63" s="232"/>
      <c r="BH63" s="233"/>
      <c r="BI63" s="233"/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233"/>
      <c r="CI63" s="233"/>
      <c r="CJ63" s="233"/>
      <c r="CK63" s="233"/>
      <c r="CL63" s="233"/>
      <c r="CM63" s="233"/>
      <c r="CN63" s="233"/>
      <c r="CO63" s="240"/>
      <c r="CP63" s="232"/>
      <c r="CQ63" s="233"/>
      <c r="CR63" s="233"/>
      <c r="CS63" s="233"/>
      <c r="CT63" s="233"/>
      <c r="CU63" s="233"/>
      <c r="CV63" s="233"/>
      <c r="CW63" s="233"/>
    </row>
    <row r="64" spans="2:58" ht="12.75">
      <c r="B64" s="213"/>
      <c r="C64" s="209"/>
      <c r="D64" s="209"/>
      <c r="E64" s="209"/>
      <c r="F64" s="209"/>
      <c r="G64" s="209"/>
      <c r="H64" s="209"/>
      <c r="I64" s="209"/>
      <c r="J64" s="209"/>
      <c r="K64" s="104"/>
      <c r="L64" s="104"/>
      <c r="M64" s="104"/>
      <c r="N64" s="104"/>
      <c r="O64" s="104"/>
      <c r="P64" s="104"/>
      <c r="Q64" s="209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104"/>
      <c r="AD64" s="209"/>
      <c r="AE64" s="235"/>
      <c r="AF64" s="235"/>
      <c r="AG64" s="235"/>
      <c r="AH64" s="235"/>
      <c r="AI64" s="235"/>
      <c r="AJ64" s="235"/>
      <c r="AK64" s="235"/>
      <c r="AL64" s="235"/>
      <c r="AM64" s="104"/>
      <c r="AN64" s="104"/>
      <c r="AO64" s="104"/>
      <c r="AP64" s="104"/>
      <c r="AQ64" s="104"/>
      <c r="AR64" s="104"/>
      <c r="AS64" s="104"/>
      <c r="AT64" s="104"/>
      <c r="AU64" s="205" t="str">
        <f>Språk!A95</f>
        <v>Annan(kod):</v>
      </c>
      <c r="AV64" s="235"/>
      <c r="AW64" s="235"/>
      <c r="AX64" s="235"/>
      <c r="AY64" s="235"/>
      <c r="AZ64" s="206"/>
      <c r="BA64" s="206"/>
      <c r="BB64" s="206"/>
      <c r="BC64" s="206"/>
      <c r="BD64" s="207"/>
      <c r="BE64" s="84"/>
      <c r="BF64" s="84"/>
    </row>
    <row r="65" spans="2:58" ht="12.75">
      <c r="B65" s="213" t="str">
        <f>Språk!A146</f>
        <v>Avbärare</v>
      </c>
      <c r="C65" s="209"/>
      <c r="D65" s="209"/>
      <c r="E65" s="209"/>
      <c r="F65" s="209"/>
      <c r="G65" s="209"/>
      <c r="H65" s="209"/>
      <c r="I65" s="209"/>
      <c r="J65" s="209"/>
      <c r="K65" s="104"/>
      <c r="L65" s="104"/>
      <c r="M65" s="104"/>
      <c r="N65" s="104"/>
      <c r="O65" s="104"/>
      <c r="P65" s="104"/>
      <c r="Q65" s="209" t="str">
        <f>Språk!A147</f>
        <v>1 rad</v>
      </c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104"/>
      <c r="AD65" s="209" t="str">
        <f>Språk!A148</f>
        <v>2 rader</v>
      </c>
      <c r="AE65" s="227"/>
      <c r="AF65" s="227"/>
      <c r="AG65" s="227"/>
      <c r="AH65" s="227"/>
      <c r="AI65" s="227"/>
      <c r="AJ65" s="227"/>
      <c r="AK65" s="227"/>
      <c r="AL65" s="227"/>
      <c r="AM65" s="104"/>
      <c r="AN65" s="209" t="str">
        <f>Språk!A149</f>
        <v>3 rader</v>
      </c>
      <c r="AO65" s="227"/>
      <c r="AP65" s="227"/>
      <c r="AQ65" s="227"/>
      <c r="AR65" s="227"/>
      <c r="AS65" s="227"/>
      <c r="AT65" s="227"/>
      <c r="AU65" s="227"/>
      <c r="AV65" s="227"/>
      <c r="AW65" s="104"/>
      <c r="AX65" s="104"/>
      <c r="AY65" s="104"/>
      <c r="AZ65" s="104"/>
      <c r="BA65" s="104"/>
      <c r="BB65" s="104"/>
      <c r="BC65" s="104"/>
      <c r="BD65" s="127"/>
      <c r="BE65" s="84"/>
      <c r="BF65" s="84"/>
    </row>
    <row r="66" spans="2:58" ht="12.75">
      <c r="B66" s="101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209" t="str">
        <f>Språk!A150</f>
        <v>Trä</v>
      </c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104"/>
      <c r="AD66" s="209" t="str">
        <f>Språk!A151</f>
        <v>Rostfritt</v>
      </c>
      <c r="AE66" s="235"/>
      <c r="AF66" s="235"/>
      <c r="AG66" s="235"/>
      <c r="AH66" s="235"/>
      <c r="AI66" s="235"/>
      <c r="AJ66" s="235"/>
      <c r="AK66" s="235"/>
      <c r="AL66" s="235"/>
      <c r="AM66" s="104"/>
      <c r="AN66" s="209" t="s">
        <v>632</v>
      </c>
      <c r="AO66" s="230"/>
      <c r="AP66" s="230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27"/>
      <c r="BE66" s="84"/>
      <c r="BF66" s="84"/>
    </row>
    <row r="67" spans="2:58" ht="12.75">
      <c r="B67" s="213" t="str">
        <f>Språk!A152</f>
        <v>EXTRA</v>
      </c>
      <c r="C67" s="246"/>
      <c r="D67" s="246"/>
      <c r="E67" s="246"/>
      <c r="F67" s="246"/>
      <c r="G67" s="246"/>
      <c r="H67" s="260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2"/>
      <c r="BE67" s="84"/>
      <c r="BF67" s="84"/>
    </row>
    <row r="68" spans="2:58" ht="12.75">
      <c r="B68" s="243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5"/>
      <c r="BE68" s="84"/>
      <c r="BF68" s="84"/>
    </row>
    <row r="69" spans="2:58" ht="12.75">
      <c r="B69" s="257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9"/>
      <c r="BE69" s="84"/>
      <c r="BF69" s="84"/>
    </row>
    <row r="70" spans="2:58" ht="12.75">
      <c r="B70" s="254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6"/>
      <c r="BE70" s="84"/>
      <c r="BF70" s="84"/>
    </row>
    <row r="73" spans="2:56" ht="12.75">
      <c r="B73" s="246"/>
      <c r="C73" s="246"/>
      <c r="D73" s="246"/>
      <c r="E73" s="246"/>
      <c r="F73" s="246"/>
      <c r="G73" s="105"/>
      <c r="H73" s="105"/>
      <c r="I73" s="105"/>
      <c r="J73" s="105"/>
      <c r="K73" s="105"/>
      <c r="L73" s="105"/>
      <c r="M73" s="105"/>
      <c r="N73" s="105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105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105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</row>
    <row r="74" spans="2:56" ht="12.75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105"/>
      <c r="Z74" s="105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105"/>
      <c r="AO74" s="105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105"/>
    </row>
    <row r="75" spans="2:56" ht="12.75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105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</row>
    <row r="76" spans="2:56" ht="12.75">
      <c r="B76" s="209"/>
      <c r="C76" s="209"/>
      <c r="D76" s="209"/>
      <c r="E76" s="209"/>
      <c r="F76" s="104"/>
      <c r="G76" s="104"/>
      <c r="H76" s="104"/>
      <c r="I76" s="104"/>
      <c r="J76" s="104"/>
      <c r="K76" s="104"/>
      <c r="L76" s="104"/>
      <c r="M76" s="104"/>
      <c r="N76" s="104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105"/>
      <c r="Z76" s="105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105"/>
      <c r="AN76" s="105"/>
      <c r="AO76" s="105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105"/>
      <c r="BD76" s="105"/>
    </row>
  </sheetData>
  <sheetProtection/>
  <mergeCells count="280">
    <mergeCell ref="O75:AH75"/>
    <mergeCell ref="AJ75:BD75"/>
    <mergeCell ref="B76:E76"/>
    <mergeCell ref="O76:X76"/>
    <mergeCell ref="AA76:AL76"/>
    <mergeCell ref="AP76:BB76"/>
    <mergeCell ref="O73:Y73"/>
    <mergeCell ref="AA73:AN73"/>
    <mergeCell ref="AP73:BD73"/>
    <mergeCell ref="O74:X74"/>
    <mergeCell ref="AA74:AM74"/>
    <mergeCell ref="AP74:BC74"/>
    <mergeCell ref="B57:J57"/>
    <mergeCell ref="B65:J65"/>
    <mergeCell ref="B61:F61"/>
    <mergeCell ref="B73:F73"/>
    <mergeCell ref="AN47:AU47"/>
    <mergeCell ref="AN48:AT48"/>
    <mergeCell ref="AN49:AR49"/>
    <mergeCell ref="AN65:AV65"/>
    <mergeCell ref="AN63:AT63"/>
    <mergeCell ref="AD63:AL63"/>
    <mergeCell ref="Q58:AB58"/>
    <mergeCell ref="Q59:AB59"/>
    <mergeCell ref="B60:J60"/>
    <mergeCell ref="Q61:V61"/>
    <mergeCell ref="AD65:AL65"/>
    <mergeCell ref="B59:J59"/>
    <mergeCell ref="AD64:AL64"/>
    <mergeCell ref="AN42:AS42"/>
    <mergeCell ref="AG24:AM24"/>
    <mergeCell ref="Q42:V42"/>
    <mergeCell ref="AN27:AS27"/>
    <mergeCell ref="AF28:AM28"/>
    <mergeCell ref="AD50:AL50"/>
    <mergeCell ref="AT29:AV29"/>
    <mergeCell ref="AN20:AU20"/>
    <mergeCell ref="AJ19:AL19"/>
    <mergeCell ref="AT26:AV26"/>
    <mergeCell ref="V22:AM22"/>
    <mergeCell ref="V23:AM23"/>
    <mergeCell ref="AT28:AV28"/>
    <mergeCell ref="AN28:AS28"/>
    <mergeCell ref="AT17:AV17"/>
    <mergeCell ref="AN18:AS18"/>
    <mergeCell ref="AD24:AF24"/>
    <mergeCell ref="AZ21:BA21"/>
    <mergeCell ref="AT18:AV18"/>
    <mergeCell ref="AN17:AS17"/>
    <mergeCell ref="AZ17:BA17"/>
    <mergeCell ref="AT27:AV27"/>
    <mergeCell ref="B42:N42"/>
    <mergeCell ref="AA31:AN31"/>
    <mergeCell ref="B26:M26"/>
    <mergeCell ref="B31:F31"/>
    <mergeCell ref="O31:Y31"/>
    <mergeCell ref="B28:M28"/>
    <mergeCell ref="B40:G40"/>
    <mergeCell ref="B38:G38"/>
    <mergeCell ref="B39:G39"/>
    <mergeCell ref="O28:S28"/>
    <mergeCell ref="B18:N18"/>
    <mergeCell ref="X19:AF19"/>
    <mergeCell ref="AH19:AI19"/>
    <mergeCell ref="O18:S18"/>
    <mergeCell ref="W18:AA18"/>
    <mergeCell ref="AF18:AI18"/>
    <mergeCell ref="J10:T10"/>
    <mergeCell ref="AH11:AM11"/>
    <mergeCell ref="X10:AH10"/>
    <mergeCell ref="AJ10:AU10"/>
    <mergeCell ref="B11:J11"/>
    <mergeCell ref="M11:S11"/>
    <mergeCell ref="U11:Z11"/>
    <mergeCell ref="AA11:AF11"/>
    <mergeCell ref="AX16:BA16"/>
    <mergeCell ref="AZ25:BA25"/>
    <mergeCell ref="AX18:BA18"/>
    <mergeCell ref="DW1:FB1"/>
    <mergeCell ref="BB26:BC26"/>
    <mergeCell ref="BT1:CY1"/>
    <mergeCell ref="DA1:DD1"/>
    <mergeCell ref="AN13:BD13"/>
    <mergeCell ref="AN15:AS15"/>
    <mergeCell ref="AN26:AS26"/>
    <mergeCell ref="AX26:BA26"/>
    <mergeCell ref="BB22:BC22"/>
    <mergeCell ref="BB24:BC24"/>
    <mergeCell ref="AX24:BA24"/>
    <mergeCell ref="AZ23:BA23"/>
    <mergeCell ref="BB18:BC18"/>
    <mergeCell ref="AX20:BA20"/>
    <mergeCell ref="CX3:DE3"/>
    <mergeCell ref="DE1:DF1"/>
    <mergeCell ref="FD1:FG1"/>
    <mergeCell ref="FH1:FI1"/>
    <mergeCell ref="FA3:FH3"/>
    <mergeCell ref="AX15:AY15"/>
    <mergeCell ref="AZ15:BA15"/>
    <mergeCell ref="FA5:FH5"/>
    <mergeCell ref="CX5:DE5"/>
    <mergeCell ref="AZ27:BA27"/>
    <mergeCell ref="AZ19:BA19"/>
    <mergeCell ref="CX7:DE7"/>
    <mergeCell ref="FA7:FH7"/>
    <mergeCell ref="AX22:BA22"/>
    <mergeCell ref="BB16:BC16"/>
    <mergeCell ref="AV10:AX10"/>
    <mergeCell ref="AY10:BD10"/>
    <mergeCell ref="AR7:BD7"/>
    <mergeCell ref="BB20:BC20"/>
    <mergeCell ref="B9:H9"/>
    <mergeCell ref="J9:O9"/>
    <mergeCell ref="B13:AM13"/>
    <mergeCell ref="B15:H15"/>
    <mergeCell ref="K15:O15"/>
    <mergeCell ref="Q15:V15"/>
    <mergeCell ref="X9:AF9"/>
    <mergeCell ref="AH9:AT9"/>
    <mergeCell ref="B10:H10"/>
    <mergeCell ref="Q9:U9"/>
    <mergeCell ref="B2:F2"/>
    <mergeCell ref="B1:F1"/>
    <mergeCell ref="B3:F3"/>
    <mergeCell ref="B7:O7"/>
    <mergeCell ref="G1:BD1"/>
    <mergeCell ref="AR5:BD5"/>
    <mergeCell ref="AR6:BD6"/>
    <mergeCell ref="AK6:AQ6"/>
    <mergeCell ref="AK7:AQ7"/>
    <mergeCell ref="AK5:AQ5"/>
    <mergeCell ref="AJ2:AU2"/>
    <mergeCell ref="P7:AB7"/>
    <mergeCell ref="AV9:AX9"/>
    <mergeCell ref="AY9:BD9"/>
    <mergeCell ref="AK4:AQ4"/>
    <mergeCell ref="Y4:AD4"/>
    <mergeCell ref="Y6:AD6"/>
    <mergeCell ref="AK3:AQ3"/>
    <mergeCell ref="AR3:BD3"/>
    <mergeCell ref="AR4:BD4"/>
    <mergeCell ref="AF15:AM15"/>
    <mergeCell ref="B16:H16"/>
    <mergeCell ref="B17:H17"/>
    <mergeCell ref="J17:O17"/>
    <mergeCell ref="V17:AD17"/>
    <mergeCell ref="AE17:AI17"/>
    <mergeCell ref="X15:AE15"/>
    <mergeCell ref="D23:T23"/>
    <mergeCell ref="D24:T24"/>
    <mergeCell ref="V24:AC24"/>
    <mergeCell ref="T39:V39"/>
    <mergeCell ref="M38:O38"/>
    <mergeCell ref="B29:M29"/>
    <mergeCell ref="O32:X32"/>
    <mergeCell ref="AA32:AM32"/>
    <mergeCell ref="D22:T22"/>
    <mergeCell ref="T18:V18"/>
    <mergeCell ref="B19:P19"/>
    <mergeCell ref="Q19:T19"/>
    <mergeCell ref="B21:E21"/>
    <mergeCell ref="B36:BD36"/>
    <mergeCell ref="B34:E34"/>
    <mergeCell ref="AX28:BA28"/>
    <mergeCell ref="W29:AC29"/>
    <mergeCell ref="AF29:AM29"/>
    <mergeCell ref="AJ33:BD33"/>
    <mergeCell ref="AN38:AQ38"/>
    <mergeCell ref="O29:R29"/>
    <mergeCell ref="O34:X34"/>
    <mergeCell ref="AP34:BB34"/>
    <mergeCell ref="AA34:AL34"/>
    <mergeCell ref="O33:AH33"/>
    <mergeCell ref="AP31:BD31"/>
    <mergeCell ref="AP32:BC32"/>
    <mergeCell ref="AZ29:BA29"/>
    <mergeCell ref="T40:V40"/>
    <mergeCell ref="T38:V38"/>
    <mergeCell ref="AD38:AE38"/>
    <mergeCell ref="AD42:AK42"/>
    <mergeCell ref="Q43:AA43"/>
    <mergeCell ref="AD45:AK45"/>
    <mergeCell ref="AD39:AG39"/>
    <mergeCell ref="B46:K46"/>
    <mergeCell ref="B45:N45"/>
    <mergeCell ref="Q48:AA48"/>
    <mergeCell ref="B47:J47"/>
    <mergeCell ref="Q45:Y45"/>
    <mergeCell ref="Q47:AA47"/>
    <mergeCell ref="B48:J48"/>
    <mergeCell ref="B70:BD70"/>
    <mergeCell ref="B69:BD69"/>
    <mergeCell ref="AZ62:BD62"/>
    <mergeCell ref="AU64:AY64"/>
    <mergeCell ref="AN59:AW59"/>
    <mergeCell ref="AN60:AW60"/>
    <mergeCell ref="AU63:AY63"/>
    <mergeCell ref="Q65:AB65"/>
    <mergeCell ref="H67:BD67"/>
    <mergeCell ref="B62:J62"/>
    <mergeCell ref="B49:J49"/>
    <mergeCell ref="B50:J50"/>
    <mergeCell ref="AD49:AH49"/>
    <mergeCell ref="Q49:S49"/>
    <mergeCell ref="B51:I51"/>
    <mergeCell ref="Z54:AA54"/>
    <mergeCell ref="V49:Y49"/>
    <mergeCell ref="B58:J58"/>
    <mergeCell ref="Q60:AB60"/>
    <mergeCell ref="Q62:AB62"/>
    <mergeCell ref="Q63:AB63"/>
    <mergeCell ref="Q64:AB64"/>
    <mergeCell ref="L54:M54"/>
    <mergeCell ref="B56:J56"/>
    <mergeCell ref="B55:J55"/>
    <mergeCell ref="B54:J54"/>
    <mergeCell ref="B63:J63"/>
    <mergeCell ref="B64:J64"/>
    <mergeCell ref="B68:BD68"/>
    <mergeCell ref="AD66:AL66"/>
    <mergeCell ref="B67:G67"/>
    <mergeCell ref="AZ63:BD63"/>
    <mergeCell ref="AZ64:BD64"/>
    <mergeCell ref="Q66:AB66"/>
    <mergeCell ref="AN66:AP66"/>
    <mergeCell ref="AD59:AL59"/>
    <mergeCell ref="AD60:AL60"/>
    <mergeCell ref="AP54:AS54"/>
    <mergeCell ref="AD58:AL58"/>
    <mergeCell ref="AR39:AX39"/>
    <mergeCell ref="AE57:AG57"/>
    <mergeCell ref="AU49:AX49"/>
    <mergeCell ref="AU56:AY56"/>
    <mergeCell ref="B52:BD52"/>
    <mergeCell ref="N54:Q54"/>
    <mergeCell ref="AY42:BD42"/>
    <mergeCell ref="AU42:AX42"/>
    <mergeCell ref="AZ43:BD43"/>
    <mergeCell ref="AU48:AY48"/>
    <mergeCell ref="BG36:CN36"/>
    <mergeCell ref="BG44:CO44"/>
    <mergeCell ref="AY38:BD38"/>
    <mergeCell ref="AZ56:BD56"/>
    <mergeCell ref="CP63:CW63"/>
    <mergeCell ref="AN54:AO54"/>
    <mergeCell ref="AY49:BD49"/>
    <mergeCell ref="AU45:AX45"/>
    <mergeCell ref="AY45:BD45"/>
    <mergeCell ref="BG63:CO63"/>
    <mergeCell ref="AN56:AT56"/>
    <mergeCell ref="B41:M41"/>
    <mergeCell ref="AY40:BD40"/>
    <mergeCell ref="BE62:BG62"/>
    <mergeCell ref="AN58:AW58"/>
    <mergeCell ref="AU43:AY43"/>
    <mergeCell ref="AZ48:BD48"/>
    <mergeCell ref="AN45:AR45"/>
    <mergeCell ref="AB54:AE54"/>
    <mergeCell ref="AN50:AU50"/>
    <mergeCell ref="R57:AB57"/>
    <mergeCell ref="B44:M44"/>
    <mergeCell ref="B43:J43"/>
    <mergeCell ref="AT15:AV15"/>
    <mergeCell ref="AT16:AV16"/>
    <mergeCell ref="L39:O39"/>
    <mergeCell ref="L40:O40"/>
    <mergeCell ref="AN39:AQ39"/>
    <mergeCell ref="B27:G27"/>
    <mergeCell ref="O27:S27"/>
    <mergeCell ref="AF27:AL27"/>
    <mergeCell ref="BB28:BC28"/>
    <mergeCell ref="T2:Z2"/>
    <mergeCell ref="AR40:AX40"/>
    <mergeCell ref="AR38:AX38"/>
    <mergeCell ref="AY39:BD39"/>
    <mergeCell ref="AN29:AS29"/>
    <mergeCell ref="W28:AC28"/>
    <mergeCell ref="AI39:AL39"/>
    <mergeCell ref="AN40:AQ40"/>
    <mergeCell ref="AD40:AG40"/>
  </mergeCells>
  <conditionalFormatting sqref="AH53:AI53 AI49 AH2:AI2 CN16 DG16 AW2">
    <cfRule type="cellIs" priority="60" dxfId="0" operator="equal" stopIfTrue="1">
      <formula>$A$1</formula>
    </cfRule>
  </conditionalFormatting>
  <dataValidations count="2">
    <dataValidation showInputMessage="1" showErrorMessage="1" sqref="AH20:AI20 AJ68:AK68 AJ69:AJ70 CR19:CS19 BL53 Q56 Q68:Q70 AS68:AV68 AO68 U68:Z68 R68 U26 AR38:AR40 K58:O58 AK49 AK51"/>
    <dataValidation type="list" allowBlank="1" showInputMessage="1" showErrorMessage="1" sqref="B2:F2">
      <formula1>Språk</formula1>
    </dataValidation>
  </dataValidations>
  <hyperlinks>
    <hyperlink ref="B3:F3" location="AR!A1" display="عربي"/>
    <hyperlink ref="B7" r:id="rId1" display="www.hydroware.com"/>
  </hyperlinks>
  <printOptions/>
  <pageMargins left="0.2362204724409449" right="0.03937007874015748" top="0.1968503937007874" bottom="0" header="0.31496062992125984" footer="0.11811023622047245"/>
  <pageSetup horizontalDpi="600" verticalDpi="600" orientation="portrait" paperSize="9" scale="94" r:id="rId4"/>
  <headerFooter alignWithMargins="0">
    <oddHeader>&amp;R&amp;D]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/>
  <dimension ref="A1:G426"/>
  <sheetViews>
    <sheetView zoomScalePageLayoutView="0" workbookViewId="0" topLeftCell="A28">
      <selection activeCell="A48" sqref="A48"/>
    </sheetView>
  </sheetViews>
  <sheetFormatPr defaultColWidth="9.140625" defaultRowHeight="12.75"/>
  <cols>
    <col min="1" max="1" width="20.57421875" style="1" customWidth="1"/>
    <col min="2" max="16384" width="9.140625" style="1" customWidth="1"/>
  </cols>
  <sheetData>
    <row r="1" ht="12.75">
      <c r="A1" s="8" t="s">
        <v>60</v>
      </c>
    </row>
    <row r="2" ht="12.75">
      <c r="A2" s="9"/>
    </row>
    <row r="3" ht="12.75">
      <c r="A3" s="10" t="str">
        <f>VLOOKUP(100,Språk!$B$110:$L$122,Språk!$A$2,FALSE)</f>
        <v>Schaktdörr finish</v>
      </c>
    </row>
    <row r="4" ht="12.75">
      <c r="A4" s="10" t="str">
        <f>VLOOKUP(101,Språk!$B$110:$L$122,Språk!$A$2,FALSE)</f>
        <v>Brandklassning</v>
      </c>
    </row>
    <row r="5" ht="15">
      <c r="A5" s="11"/>
    </row>
    <row r="6" ht="12.75">
      <c r="A6" s="4" t="s">
        <v>41</v>
      </c>
    </row>
    <row r="7" ht="12.75">
      <c r="A7" s="10"/>
    </row>
    <row r="8" ht="12.75">
      <c r="A8" s="10" t="str">
        <f>VLOOKUP(110,Språk!$B$122:$L$138,Språk!$A$2,FALSE)</f>
        <v>Skin plate</v>
      </c>
    </row>
    <row r="9" ht="12.75">
      <c r="A9" s="10" t="str">
        <f>VLOOKUP(111,Språk!$B$122:$L$138,Språk!$A$2,FALSE)</f>
        <v>Rostfritt- Satin</v>
      </c>
    </row>
    <row r="10" ht="12.75">
      <c r="A10" s="10" t="str">
        <f>VLOOKUP(112,Språk!$B$122:$L$138,Språk!$A$2,FALSE)</f>
        <v>Spegel</v>
      </c>
    </row>
    <row r="12" ht="12.75">
      <c r="A12" s="4" t="s">
        <v>42</v>
      </c>
    </row>
    <row r="13" ht="12.75">
      <c r="A13" s="10"/>
    </row>
    <row r="14" ht="12.75">
      <c r="A14" s="10" t="str">
        <f>VLOOKUP(120,Språk!$B$138:$L$147,Språk!$A$2,FALSE)</f>
        <v>Gummi</v>
      </c>
    </row>
    <row r="15" ht="12.75">
      <c r="A15" s="10" t="str">
        <f>VLOOKUP(121,Språk!$B$138:$L$147,Språk!$A$2,FALSE)</f>
        <v>Sten</v>
      </c>
    </row>
    <row r="16" ht="12.75">
      <c r="A16" s="10" t="str">
        <f>VLOOKUP(122,Språk!$B$138:$L$147,Språk!$A$2,FALSE)</f>
        <v>Belysning:</v>
      </c>
    </row>
    <row r="18" ht="12.75">
      <c r="A18" s="12" t="s">
        <v>43</v>
      </c>
    </row>
    <row r="19" ht="12.75">
      <c r="A19" s="10"/>
    </row>
    <row r="20" ht="12.75">
      <c r="A20" s="10" t="str">
        <f>VLOOKUP(130,Språk!$B$147:$L$151,Språk!$A$2,FALSE)</f>
        <v>2 rader</v>
      </c>
    </row>
    <row r="21" ht="12.75">
      <c r="A21" s="10" t="str">
        <f>VLOOKUP(131,Språk!$B$147:$L$151,Språk!$A$2,FALSE)</f>
        <v>3 rader</v>
      </c>
    </row>
    <row r="22" ht="15">
      <c r="A22" s="11"/>
    </row>
    <row r="23" ht="12.75">
      <c r="A23" s="12" t="s">
        <v>44</v>
      </c>
    </row>
    <row r="24" ht="12.75">
      <c r="A24" s="10"/>
    </row>
    <row r="25" ht="12.75">
      <c r="A25" s="10" t="e">
        <f>VLOOKUP(140,Språk!#REF!,Språk!$A$2,FALSE)</f>
        <v>#REF!</v>
      </c>
    </row>
    <row r="26" ht="12.75">
      <c r="A26" s="10" t="e">
        <f>VLOOKUP(141,Språk!#REF!,Språk!$A$2,FALSE)</f>
        <v>#REF!</v>
      </c>
    </row>
    <row r="28" ht="12.75">
      <c r="A28" s="4" t="s">
        <v>45</v>
      </c>
    </row>
    <row r="29" ht="12.75">
      <c r="A29" s="10"/>
    </row>
    <row r="30" ht="12.75">
      <c r="A30" s="10" t="e">
        <f>VLOOKUP(150,Språk!#REF!,Språk!$A$2,FALSE)</f>
        <v>#REF!</v>
      </c>
    </row>
    <row r="31" ht="12.75">
      <c r="A31" s="10" t="e">
        <f>VLOOKUP(151,Språk!#REF!,Språk!$A$2,FALSE)</f>
        <v>#REF!</v>
      </c>
    </row>
    <row r="32" ht="12.75">
      <c r="A32" s="10" t="e">
        <f>VLOOKUP(152,Språk!#REF!,Språk!$A$2,FALSE)</f>
        <v>#REF!</v>
      </c>
    </row>
    <row r="33" ht="12.75">
      <c r="A33" s="10" t="e">
        <f>VLOOKUP(153,Språk!#REF!,Språk!$A$2,FALSE)</f>
        <v>#REF!</v>
      </c>
    </row>
    <row r="34" ht="12.75">
      <c r="A34" s="10" t="e">
        <f>VLOOKUP(154,Språk!#REF!,Språk!$A$2,FALSE)</f>
        <v>#REF!</v>
      </c>
    </row>
    <row r="37" ht="12.75">
      <c r="A37" s="4" t="s">
        <v>46</v>
      </c>
    </row>
    <row r="38" ht="12.75">
      <c r="A38" s="10"/>
    </row>
    <row r="39" ht="12.75">
      <c r="A39" s="10" t="e">
        <f>VLOOKUP(160,Språk!#REF!,Språk!$A$2,FALSE)</f>
        <v>#REF!</v>
      </c>
    </row>
    <row r="40" ht="12.75">
      <c r="A40" s="10" t="e">
        <f>VLOOKUP(161,Språk!#REF!,Språk!$A$2,FALSE)</f>
        <v>#REF!</v>
      </c>
    </row>
    <row r="43" ht="12.75">
      <c r="A43" s="4" t="s">
        <v>19</v>
      </c>
    </row>
    <row r="44" ht="12.75">
      <c r="A44" s="13" t="s">
        <v>787</v>
      </c>
    </row>
    <row r="45" ht="12.75">
      <c r="A45" s="13" t="s">
        <v>788</v>
      </c>
    </row>
    <row r="46" ht="12.75">
      <c r="A46" s="13" t="s">
        <v>789</v>
      </c>
    </row>
    <row r="47" ht="12.75">
      <c r="A47" s="1" t="s">
        <v>798</v>
      </c>
    </row>
    <row r="48" ht="12.75">
      <c r="A48" s="13" t="s">
        <v>799</v>
      </c>
    </row>
    <row r="49" ht="12.75">
      <c r="A49" s="1" t="s">
        <v>444</v>
      </c>
    </row>
    <row r="51" ht="12.75">
      <c r="A51" s="4" t="s">
        <v>28</v>
      </c>
    </row>
    <row r="52" ht="12.75">
      <c r="A52" s="10"/>
    </row>
    <row r="53" ht="12.75">
      <c r="A53" s="10" t="e">
        <f>VLOOKUP(170,Språk!#REF!,Språk!$A$2,FALSE)</f>
        <v>#REF!</v>
      </c>
    </row>
    <row r="54" ht="12.75">
      <c r="A54" s="10" t="e">
        <f>VLOOKUP(171,Språk!#REF!,Språk!$A$2,FALSE)</f>
        <v>#REF!</v>
      </c>
    </row>
    <row r="56" ht="12.75">
      <c r="A56" s="4" t="s">
        <v>32</v>
      </c>
    </row>
    <row r="57" ht="12.75">
      <c r="A57" s="13"/>
    </row>
    <row r="58" ht="12.75">
      <c r="A58" s="10" t="e">
        <f>VLOOKUP(200,Språk!#REF!,Språk!$A$2,FALSE)</f>
        <v>#REF!</v>
      </c>
    </row>
    <row r="59" ht="12.75">
      <c r="A59" s="10" t="e">
        <f>VLOOKUP(201,Språk!#REF!,Språk!$A$2,FALSE)</f>
        <v>#REF!</v>
      </c>
    </row>
    <row r="61" ht="12.75">
      <c r="A61" s="4" t="s">
        <v>27</v>
      </c>
    </row>
    <row r="63" ht="12.75">
      <c r="A63" s="1">
        <v>1</v>
      </c>
    </row>
    <row r="64" ht="12.75">
      <c r="A64" s="1">
        <v>2</v>
      </c>
    </row>
    <row r="66" ht="12.75">
      <c r="A66" s="4" t="s">
        <v>58</v>
      </c>
    </row>
    <row r="68" ht="12.75">
      <c r="A68" s="10" t="e">
        <f>VLOOKUP(180,Språk!#REF!,Språk!$A$2,FALSE)</f>
        <v>#REF!</v>
      </c>
    </row>
    <row r="69" ht="12.75">
      <c r="A69" s="10" t="e">
        <f>VLOOKUP(181,Språk!#REF!,Språk!$A$2,FALSE)</f>
        <v>#REF!</v>
      </c>
    </row>
    <row r="71" ht="12.75">
      <c r="A71" s="9" t="s">
        <v>61</v>
      </c>
    </row>
    <row r="72" ht="12.75">
      <c r="A72" s="14"/>
    </row>
    <row r="73" spans="1:2" ht="12.75">
      <c r="A73" s="1" t="e">
        <f>IF(Språk!#REF!&gt;=3200,2000,"")</f>
        <v>#REF!</v>
      </c>
      <c r="B73" s="1">
        <v>2000</v>
      </c>
    </row>
    <row r="74" spans="1:2" ht="12.75">
      <c r="A74" s="1" t="e">
        <f>IF(Språk!#REF!&gt;=3300,2100,"")</f>
        <v>#REF!</v>
      </c>
      <c r="B74" s="1">
        <v>2100</v>
      </c>
    </row>
    <row r="75" spans="1:2" ht="12.75">
      <c r="A75" s="1" t="e">
        <f>IF(Språk!#REF!&gt;=3400,2200,"")</f>
        <v>#REF!</v>
      </c>
      <c r="B75" s="1">
        <v>2200</v>
      </c>
    </row>
    <row r="76" spans="1:2" ht="12.75">
      <c r="A76" s="1" t="e">
        <f>IF(Språk!#REF!&gt;=3500,2300,"")</f>
        <v>#REF!</v>
      </c>
      <c r="B76" s="1">
        <v>2300</v>
      </c>
    </row>
    <row r="77" spans="1:2" ht="12.75">
      <c r="A77" s="1" t="e">
        <f>IF(Språk!#REF!&gt;=3600,2400,"")</f>
        <v>#REF!</v>
      </c>
      <c r="B77" s="1">
        <v>2400</v>
      </c>
    </row>
    <row r="78" spans="1:2" ht="12.75">
      <c r="A78" s="1" t="e">
        <f>IF(Språk!#REF!&gt;=3700,2500,"")</f>
        <v>#REF!</v>
      </c>
      <c r="B78" s="1">
        <v>2500</v>
      </c>
    </row>
    <row r="79" spans="1:2" ht="12.75">
      <c r="A79" s="1" t="e">
        <f>IF(Språk!#REF!&gt;=3800,2600,"")</f>
        <v>#REF!</v>
      </c>
      <c r="B79" s="1">
        <v>2600</v>
      </c>
    </row>
    <row r="81" ht="12.75">
      <c r="A81" s="4" t="s">
        <v>62</v>
      </c>
    </row>
    <row r="83" ht="12.75">
      <c r="A83" s="1" t="s">
        <v>15</v>
      </c>
    </row>
    <row r="84" ht="12.75">
      <c r="A84" s="1" t="s">
        <v>16</v>
      </c>
    </row>
    <row r="85" ht="12.75">
      <c r="A85" s="1" t="s">
        <v>17</v>
      </c>
    </row>
    <row r="87" ht="12.75">
      <c r="A87" s="4" t="s">
        <v>13</v>
      </c>
    </row>
    <row r="89" ht="12.75">
      <c r="A89" s="10" t="e">
        <f>VLOOKUP(190,Språk!#REF!,Språk!$A$2,FALSE)</f>
        <v>#REF!</v>
      </c>
    </row>
    <row r="90" ht="12.75">
      <c r="A90" s="10" t="e">
        <f>VLOOKUP(191,Språk!#REF!,Språk!$A$2,FALSE)</f>
        <v>#REF!</v>
      </c>
    </row>
    <row r="94" ht="12.75">
      <c r="A94" s="1" t="s">
        <v>63</v>
      </c>
    </row>
    <row r="95" spans="2:3" ht="12.75">
      <c r="B95" s="1" t="s">
        <v>0</v>
      </c>
      <c r="C95" s="1" t="s">
        <v>1</v>
      </c>
    </row>
    <row r="96" spans="1:7" ht="12.75">
      <c r="A96" s="1">
        <v>1000</v>
      </c>
      <c r="B96" s="1" t="e">
        <f>IF(Språk!#REF!&gt;=D96,F96,0)</f>
        <v>#REF!</v>
      </c>
      <c r="C96" s="1" t="e">
        <f>IF(Språk!#REF!&lt;=E96,F96,1)</f>
        <v>#REF!</v>
      </c>
      <c r="D96" s="1">
        <v>1700</v>
      </c>
      <c r="E96" s="1">
        <v>2300</v>
      </c>
      <c r="F96" s="1">
        <v>1000</v>
      </c>
      <c r="G96" s="1" t="e">
        <f>IF(Språk!#REF!&lt;1700,0,IF(Språk!#REF!&gt;2300,0,1000))</f>
        <v>#REF!</v>
      </c>
    </row>
    <row r="97" spans="1:7" ht="12.75">
      <c r="A97" s="1">
        <v>1050</v>
      </c>
      <c r="B97" s="1" t="e">
        <f>IF(Språk!#REF!&gt;=D97,F97,0)</f>
        <v>#REF!</v>
      </c>
      <c r="C97" s="1" t="e">
        <f>IF(Språk!#REF!&lt;=E97,F97,1)</f>
        <v>#REF!</v>
      </c>
      <c r="D97" s="1">
        <v>1750</v>
      </c>
      <c r="E97" s="1">
        <v>2350</v>
      </c>
      <c r="F97" s="1">
        <v>1050</v>
      </c>
      <c r="G97" s="1" t="e">
        <f>IF(Språk!#REF!&lt;1750,0,IF(Språk!#REF!&gt;2350,0,1050))</f>
        <v>#REF!</v>
      </c>
    </row>
    <row r="98" spans="1:7" ht="12.75">
      <c r="A98" s="1">
        <v>1100</v>
      </c>
      <c r="B98" s="1" t="e">
        <f>IF(Språk!#REF!&gt;=D98,F98,0)</f>
        <v>#REF!</v>
      </c>
      <c r="C98" s="1" t="e">
        <f>IF(Språk!#REF!&lt;=E98,F98,1)</f>
        <v>#REF!</v>
      </c>
      <c r="D98" s="1">
        <v>1800</v>
      </c>
      <c r="E98" s="1">
        <v>2400</v>
      </c>
      <c r="F98" s="1">
        <v>1100</v>
      </c>
      <c r="G98" s="1" t="e">
        <f>IF(Språk!#REF!&lt;1800,0,IF(Språk!#REF!&gt;2400,0,1000))</f>
        <v>#REF!</v>
      </c>
    </row>
    <row r="99" spans="1:7" ht="12.75">
      <c r="A99" s="1">
        <v>1150</v>
      </c>
      <c r="B99" s="1" t="e">
        <f>IF(Språk!#REF!&gt;=D99,F99,0)</f>
        <v>#REF!</v>
      </c>
      <c r="C99" s="1" t="e">
        <f>IF(Språk!#REF!&lt;=E99,F99,1)</f>
        <v>#REF!</v>
      </c>
      <c r="D99" s="1">
        <v>1850</v>
      </c>
      <c r="E99" s="1">
        <v>2450</v>
      </c>
      <c r="F99" s="1">
        <v>1150</v>
      </c>
      <c r="G99" s="1" t="e">
        <f>IF(Språk!#REF!&lt;1700,0,IF(Språk!#REF!&gt;2300,0,1000))</f>
        <v>#REF!</v>
      </c>
    </row>
    <row r="100" spans="1:7" ht="12.75">
      <c r="A100" s="1">
        <v>1200</v>
      </c>
      <c r="B100" s="1" t="e">
        <f>IF(Språk!#REF!&gt;=D100,F100,0)</f>
        <v>#REF!</v>
      </c>
      <c r="C100" s="1" t="e">
        <f>IF(Språk!#REF!&lt;=E100,F100,1)</f>
        <v>#REF!</v>
      </c>
      <c r="D100" s="1">
        <v>1900</v>
      </c>
      <c r="E100" s="1">
        <v>2500</v>
      </c>
      <c r="F100" s="1">
        <v>1200</v>
      </c>
      <c r="G100" s="1" t="e">
        <f>IF(Språk!#REF!&lt;1700,0,IF(Språk!#REF!&gt;2300,0,1000))</f>
        <v>#REF!</v>
      </c>
    </row>
    <row r="101" spans="1:7" ht="12.75">
      <c r="A101" s="1">
        <v>1250</v>
      </c>
      <c r="B101" s="1" t="e">
        <f>IF(Språk!#REF!&gt;=D101,F101,0)</f>
        <v>#REF!</v>
      </c>
      <c r="C101" s="1" t="e">
        <f>IF(Språk!#REF!&lt;=E101,F101,1)</f>
        <v>#REF!</v>
      </c>
      <c r="D101" s="1">
        <v>1950</v>
      </c>
      <c r="E101" s="1">
        <v>2550</v>
      </c>
      <c r="F101" s="1">
        <v>1250</v>
      </c>
      <c r="G101" s="1" t="e">
        <f>IF(Språk!#REF!&lt;1700,0,IF(Språk!#REF!&gt;2300,0,1000))</f>
        <v>#REF!</v>
      </c>
    </row>
    <row r="102" spans="1:7" ht="12.75">
      <c r="A102" s="1">
        <v>1300</v>
      </c>
      <c r="B102" s="1" t="e">
        <f>IF(Språk!#REF!&gt;=D102,F102,0)</f>
        <v>#REF!</v>
      </c>
      <c r="C102" s="1" t="e">
        <f>IF(Språk!#REF!&lt;=E102,F102,1)</f>
        <v>#REF!</v>
      </c>
      <c r="D102" s="1">
        <v>2000</v>
      </c>
      <c r="E102" s="1">
        <v>2600</v>
      </c>
      <c r="F102" s="1">
        <v>1300</v>
      </c>
      <c r="G102" s="1" t="e">
        <f>IF(Språk!#REF!&lt;1700,0,IF(Språk!#REF!&gt;2300,0,1000))</f>
        <v>#REF!</v>
      </c>
    </row>
    <row r="103" spans="1:7" ht="12.75">
      <c r="A103" s="1">
        <v>1350</v>
      </c>
      <c r="B103" s="1" t="e">
        <f>IF(Språk!#REF!&gt;=D103,F103,0)</f>
        <v>#REF!</v>
      </c>
      <c r="C103" s="1" t="e">
        <f>IF(Språk!#REF!&lt;=E103,F103,1)</f>
        <v>#REF!</v>
      </c>
      <c r="D103" s="1">
        <v>2050</v>
      </c>
      <c r="E103" s="1">
        <v>2650</v>
      </c>
      <c r="F103" s="1">
        <v>1350</v>
      </c>
      <c r="G103" s="1" t="e">
        <f>IF(Språk!#REF!&lt;1700,0,IF(Språk!#REF!&gt;2300,0,1000))</f>
        <v>#REF!</v>
      </c>
    </row>
    <row r="104" spans="1:7" ht="12.75">
      <c r="A104" s="1">
        <v>1400</v>
      </c>
      <c r="B104" s="1" t="e">
        <f>IF(Språk!#REF!&gt;=D104,F104,0)</f>
        <v>#REF!</v>
      </c>
      <c r="C104" s="1" t="e">
        <f>IF(Språk!#REF!&lt;=E104,F104,1)</f>
        <v>#REF!</v>
      </c>
      <c r="D104" s="1">
        <v>2100</v>
      </c>
      <c r="E104" s="1">
        <v>2700</v>
      </c>
      <c r="F104" s="1">
        <v>1400</v>
      </c>
      <c r="G104" s="1" t="e">
        <f>IF(Språk!#REF!&lt;1700,0,IF(Språk!#REF!&gt;2300,0,1000))</f>
        <v>#REF!</v>
      </c>
    </row>
    <row r="105" spans="1:7" ht="12.75">
      <c r="A105" s="1">
        <v>1450</v>
      </c>
      <c r="B105" s="1" t="e">
        <f>IF(Språk!#REF!&gt;=D105,F105,0)</f>
        <v>#REF!</v>
      </c>
      <c r="C105" s="1" t="e">
        <f>IF(Språk!#REF!&lt;=E105,F105,1)</f>
        <v>#REF!</v>
      </c>
      <c r="D105" s="1">
        <v>2150</v>
      </c>
      <c r="E105" s="1">
        <v>2750</v>
      </c>
      <c r="F105" s="1">
        <v>1450</v>
      </c>
      <c r="G105" s="1" t="e">
        <f>IF(Språk!#REF!&lt;1700,0,IF(Språk!#REF!&gt;2300,0,1000))</f>
        <v>#REF!</v>
      </c>
    </row>
    <row r="106" spans="1:7" ht="12.75">
      <c r="A106" s="1">
        <v>1500</v>
      </c>
      <c r="B106" s="1" t="e">
        <f>IF(Språk!#REF!&gt;=D106,F106,0)</f>
        <v>#REF!</v>
      </c>
      <c r="C106" s="1" t="e">
        <f>IF(Språk!#REF!&lt;=E106,F106,1)</f>
        <v>#REF!</v>
      </c>
      <c r="D106" s="1">
        <v>2200</v>
      </c>
      <c r="E106" s="1">
        <v>2800</v>
      </c>
      <c r="F106" s="1">
        <v>1500</v>
      </c>
      <c r="G106" s="1" t="e">
        <f>IF(Språk!#REF!&lt;1700,0,IF(Språk!#REF!&gt;2300,0,1000))</f>
        <v>#REF!</v>
      </c>
    </row>
    <row r="107" spans="1:7" ht="12.75">
      <c r="A107" s="1">
        <v>1550</v>
      </c>
      <c r="B107" s="1" t="e">
        <f>IF(Språk!#REF!&gt;=D107,F107,0)</f>
        <v>#REF!</v>
      </c>
      <c r="C107" s="1" t="e">
        <f>IF(Språk!#REF!&lt;=E107,F107,1)</f>
        <v>#REF!</v>
      </c>
      <c r="D107" s="1">
        <v>2250</v>
      </c>
      <c r="E107" s="1">
        <v>2850</v>
      </c>
      <c r="F107" s="1">
        <v>1550</v>
      </c>
      <c r="G107" s="1" t="e">
        <f>IF(Språk!#REF!&lt;1700,0,IF(Språk!#REF!&gt;2300,0,1000))</f>
        <v>#REF!</v>
      </c>
    </row>
    <row r="108" spans="1:7" ht="12.75">
      <c r="A108" s="1">
        <v>1600</v>
      </c>
      <c r="B108" s="1" t="e">
        <f>IF(Språk!#REF!&gt;=D108,F108,0)</f>
        <v>#REF!</v>
      </c>
      <c r="C108" s="1" t="e">
        <f>IF(Språk!#REF!&lt;=E108,F108,1)</f>
        <v>#REF!</v>
      </c>
      <c r="D108" s="1">
        <v>2300</v>
      </c>
      <c r="E108" s="1">
        <v>2900</v>
      </c>
      <c r="F108" s="1">
        <v>1600</v>
      </c>
      <c r="G108" s="1" t="e">
        <f>IF(Språk!#REF!&lt;1700,0,IF(Språk!#REF!&gt;2300,0,1000))</f>
        <v>#REF!</v>
      </c>
    </row>
    <row r="109" spans="1:7" ht="12.75">
      <c r="A109" s="1">
        <v>1650</v>
      </c>
      <c r="B109" s="1" t="e">
        <f>IF(Språk!#REF!&gt;=D109,F109,0)</f>
        <v>#REF!</v>
      </c>
      <c r="C109" s="1" t="e">
        <f>IF(Språk!#REF!&lt;=E109,F109,1)</f>
        <v>#REF!</v>
      </c>
      <c r="D109" s="1">
        <v>2350</v>
      </c>
      <c r="E109" s="1">
        <v>2950</v>
      </c>
      <c r="F109" s="1">
        <v>1650</v>
      </c>
      <c r="G109" s="1" t="e">
        <f>IF(Språk!#REF!&lt;1700,0,IF(Språk!#REF!&gt;2300,0,1000))</f>
        <v>#REF!</v>
      </c>
    </row>
    <row r="110" spans="1:7" ht="12.75">
      <c r="A110" s="1">
        <v>1700</v>
      </c>
      <c r="B110" s="1" t="e">
        <f>IF(Språk!#REF!&gt;=D110,F110,0)</f>
        <v>#REF!</v>
      </c>
      <c r="C110" s="1" t="e">
        <f>IF(Språk!#REF!&lt;=E110,F110,1)</f>
        <v>#REF!</v>
      </c>
      <c r="D110" s="1">
        <v>2400</v>
      </c>
      <c r="E110" s="1">
        <v>3000</v>
      </c>
      <c r="F110" s="1">
        <v>1700</v>
      </c>
      <c r="G110" s="1" t="e">
        <f>IF(Språk!#REF!&lt;1700,0,IF(Språk!#REF!&gt;2300,0,1000))</f>
        <v>#REF!</v>
      </c>
    </row>
    <row r="111" spans="1:7" ht="12.75">
      <c r="A111" s="1">
        <v>1750</v>
      </c>
      <c r="B111" s="1" t="e">
        <f>IF(Språk!#REF!&gt;=D111,F111,0)</f>
        <v>#REF!</v>
      </c>
      <c r="C111" s="1" t="e">
        <f>IF(Språk!#REF!&lt;=E111,F111,1)</f>
        <v>#REF!</v>
      </c>
      <c r="D111" s="1">
        <v>2450</v>
      </c>
      <c r="E111" s="1">
        <v>3050</v>
      </c>
      <c r="F111" s="1">
        <v>1750</v>
      </c>
      <c r="G111" s="1" t="e">
        <f>IF(Språk!#REF!&lt;1700,0,IF(Språk!#REF!&gt;2300,0,1000))</f>
        <v>#REF!</v>
      </c>
    </row>
    <row r="112" spans="1:7" ht="12.75">
      <c r="A112" s="1">
        <v>1800</v>
      </c>
      <c r="B112" s="1" t="e">
        <f>IF(Språk!#REF!&gt;=D112,F112,0)</f>
        <v>#REF!</v>
      </c>
      <c r="C112" s="1" t="e">
        <f>IF(Språk!#REF!&lt;=E112,F112,1)</f>
        <v>#REF!</v>
      </c>
      <c r="D112" s="1">
        <v>2500</v>
      </c>
      <c r="E112" s="1">
        <v>3100</v>
      </c>
      <c r="F112" s="1">
        <v>1800</v>
      </c>
      <c r="G112" s="1" t="e">
        <f>IF(Språk!#REF!&lt;1700,0,IF(Språk!#REF!&gt;2300,0,1000))</f>
        <v>#REF!</v>
      </c>
    </row>
    <row r="113" spans="1:7" ht="12.75">
      <c r="A113" s="1">
        <v>1850</v>
      </c>
      <c r="B113" s="1" t="e">
        <f>IF(Språk!#REF!&gt;=D113,F113,0)</f>
        <v>#REF!</v>
      </c>
      <c r="C113" s="1" t="e">
        <f>IF(Språk!#REF!&lt;=E113,F113,1)</f>
        <v>#REF!</v>
      </c>
      <c r="D113" s="1">
        <v>2550</v>
      </c>
      <c r="E113" s="1">
        <v>3150</v>
      </c>
      <c r="F113" s="1">
        <v>1850</v>
      </c>
      <c r="G113" s="1" t="e">
        <f>IF(Språk!#REF!&lt;1700,0,IF(Språk!#REF!&gt;2300,0,1000))</f>
        <v>#REF!</v>
      </c>
    </row>
    <row r="114" spans="1:6" ht="12.75">
      <c r="A114" s="1">
        <v>1900</v>
      </c>
      <c r="B114" s="1" t="e">
        <f>IF(Språk!#REF!&gt;=D114,F114,0)</f>
        <v>#REF!</v>
      </c>
      <c r="C114" s="1" t="e">
        <f>IF(Språk!#REF!&lt;=E114,F114,1)</f>
        <v>#REF!</v>
      </c>
      <c r="D114" s="1">
        <v>2600</v>
      </c>
      <c r="E114" s="1">
        <v>3200</v>
      </c>
      <c r="F114" s="1">
        <v>1900</v>
      </c>
    </row>
    <row r="115" spans="1:6" ht="12.75">
      <c r="A115" s="1">
        <v>1950</v>
      </c>
      <c r="B115" s="1" t="e">
        <f>IF(Språk!#REF!&gt;=D115,F115,0)</f>
        <v>#REF!</v>
      </c>
      <c r="C115" s="1" t="e">
        <f>IF(Språk!#REF!&lt;=E115,F115,1)</f>
        <v>#REF!</v>
      </c>
      <c r="D115" s="1">
        <v>2650</v>
      </c>
      <c r="E115" s="1">
        <v>3250</v>
      </c>
      <c r="F115" s="1">
        <v>1950</v>
      </c>
    </row>
    <row r="116" spans="1:6" ht="12.75">
      <c r="A116" s="1">
        <v>2000</v>
      </c>
      <c r="B116" s="1" t="e">
        <f>IF(Språk!#REF!&gt;=D116,F116,0)</f>
        <v>#REF!</v>
      </c>
      <c r="C116" s="1" t="e">
        <f>IF(Språk!#REF!&lt;=E116,F116,1)</f>
        <v>#REF!</v>
      </c>
      <c r="D116" s="1">
        <v>2700</v>
      </c>
      <c r="E116" s="1">
        <v>3300</v>
      </c>
      <c r="F116" s="1">
        <v>2000</v>
      </c>
    </row>
    <row r="117" spans="1:6" ht="12.75">
      <c r="A117" s="1">
        <v>2050</v>
      </c>
      <c r="B117" s="1" t="e">
        <f>IF(Språk!#REF!&gt;=D117,F117,0)</f>
        <v>#REF!</v>
      </c>
      <c r="C117" s="1" t="e">
        <f>IF(Språk!#REF!&lt;=E117,F117,1)</f>
        <v>#REF!</v>
      </c>
      <c r="D117" s="1">
        <v>2750</v>
      </c>
      <c r="E117" s="1">
        <v>3350</v>
      </c>
      <c r="F117" s="1">
        <v>2050</v>
      </c>
    </row>
    <row r="118" spans="1:6" ht="12.75">
      <c r="A118" s="1">
        <v>2100</v>
      </c>
      <c r="B118" s="1" t="e">
        <f>IF(Språk!#REF!&gt;=D118,F118,0)</f>
        <v>#REF!</v>
      </c>
      <c r="C118" s="1" t="e">
        <f>IF(Språk!#REF!&lt;=E118,F118,1)</f>
        <v>#REF!</v>
      </c>
      <c r="D118" s="1">
        <v>2800</v>
      </c>
      <c r="E118" s="1">
        <v>3400</v>
      </c>
      <c r="F118" s="1">
        <v>2100</v>
      </c>
    </row>
    <row r="119" spans="1:6" ht="12.75">
      <c r="A119" s="1">
        <v>2150</v>
      </c>
      <c r="B119" s="1" t="e">
        <f>IF(Språk!#REF!&gt;=D119,F119,0)</f>
        <v>#REF!</v>
      </c>
      <c r="C119" s="1" t="e">
        <f>IF(Språk!#REF!&lt;=E119,F119,1)</f>
        <v>#REF!</v>
      </c>
      <c r="D119" s="1">
        <v>2850</v>
      </c>
      <c r="E119" s="1">
        <v>3450</v>
      </c>
      <c r="F119" s="1">
        <v>2150</v>
      </c>
    </row>
    <row r="120" spans="1:6" ht="12.75">
      <c r="A120" s="1">
        <v>2200</v>
      </c>
      <c r="B120" s="1" t="e">
        <f>IF(Språk!#REF!&gt;=D120,F120,0)</f>
        <v>#REF!</v>
      </c>
      <c r="C120" s="1" t="e">
        <f>IF(Språk!#REF!&lt;=E120,F120,1)</f>
        <v>#REF!</v>
      </c>
      <c r="D120" s="1">
        <v>2900</v>
      </c>
      <c r="E120" s="1">
        <v>3500</v>
      </c>
      <c r="F120" s="1">
        <v>2200</v>
      </c>
    </row>
    <row r="121" spans="1:6" ht="12.75">
      <c r="A121" s="1">
        <v>2250</v>
      </c>
      <c r="B121" s="1" t="e">
        <f>IF(Språk!#REF!&gt;=D121,F121,0)</f>
        <v>#REF!</v>
      </c>
      <c r="C121" s="1" t="e">
        <f>IF(Språk!#REF!&lt;=E121,F121,1)</f>
        <v>#REF!</v>
      </c>
      <c r="D121" s="1">
        <v>2950</v>
      </c>
      <c r="E121" s="1">
        <v>3550</v>
      </c>
      <c r="F121" s="1">
        <v>2250</v>
      </c>
    </row>
    <row r="122" spans="1:6" ht="12.75">
      <c r="A122" s="1">
        <v>2300</v>
      </c>
      <c r="B122" s="1" t="e">
        <f>IF(Språk!#REF!&gt;=D122,F122,0)</f>
        <v>#REF!</v>
      </c>
      <c r="C122" s="1" t="e">
        <f>IF(Språk!#REF!&lt;=E122,F122,1)</f>
        <v>#REF!</v>
      </c>
      <c r="D122" s="1">
        <v>3000</v>
      </c>
      <c r="E122" s="1">
        <v>3600</v>
      </c>
      <c r="F122" s="1">
        <v>2300</v>
      </c>
    </row>
    <row r="123" spans="1:6" ht="12.75">
      <c r="A123" s="1">
        <v>2350</v>
      </c>
      <c r="B123" s="1" t="e">
        <f>IF(Språk!#REF!&gt;=D123,F123,0)</f>
        <v>#REF!</v>
      </c>
      <c r="C123" s="1" t="e">
        <f>IF(Språk!#REF!&lt;=E123,F123,1)</f>
        <v>#REF!</v>
      </c>
      <c r="D123" s="1">
        <v>3050</v>
      </c>
      <c r="E123" s="1">
        <v>3650</v>
      </c>
      <c r="F123" s="1">
        <v>2350</v>
      </c>
    </row>
    <row r="124" spans="1:6" ht="12.75">
      <c r="A124" s="1">
        <v>2400</v>
      </c>
      <c r="B124" s="1" t="e">
        <f>IF(Språk!#REF!&gt;=D124,F124,0)</f>
        <v>#REF!</v>
      </c>
      <c r="C124" s="1" t="e">
        <f>IF(Språk!#REF!&lt;=E124,F124,1)</f>
        <v>#REF!</v>
      </c>
      <c r="D124" s="1">
        <v>3100</v>
      </c>
      <c r="E124" s="1">
        <v>3700</v>
      </c>
      <c r="F124" s="1">
        <v>2400</v>
      </c>
    </row>
    <row r="125" spans="1:6" ht="12.75">
      <c r="A125" s="1">
        <v>2450</v>
      </c>
      <c r="B125" s="1" t="e">
        <f>IF(Språk!#REF!&gt;=D125,F125,0)</f>
        <v>#REF!</v>
      </c>
      <c r="C125" s="1" t="e">
        <f>IF(Språk!#REF!&lt;=E125,F125,1)</f>
        <v>#REF!</v>
      </c>
      <c r="D125" s="1">
        <v>3150</v>
      </c>
      <c r="E125" s="1">
        <v>3750</v>
      </c>
      <c r="F125" s="1">
        <v>2450</v>
      </c>
    </row>
    <row r="126" spans="1:6" ht="12.75">
      <c r="A126" s="1">
        <v>2500</v>
      </c>
      <c r="B126" s="1" t="e">
        <f>IF(Språk!#REF!&gt;=D126,F126,0)</f>
        <v>#REF!</v>
      </c>
      <c r="C126" s="1" t="e">
        <f>IF(Språk!#REF!&lt;=E126,F126,1)</f>
        <v>#REF!</v>
      </c>
      <c r="D126" s="1">
        <v>3200</v>
      </c>
      <c r="E126" s="1">
        <v>3800</v>
      </c>
      <c r="F126" s="1">
        <v>2500</v>
      </c>
    </row>
    <row r="127" spans="1:6" ht="12.75">
      <c r="A127" s="1">
        <v>2550</v>
      </c>
      <c r="B127" s="1" t="e">
        <f>IF(Språk!#REF!&gt;=D127,F127,0)</f>
        <v>#REF!</v>
      </c>
      <c r="C127" s="1" t="e">
        <f>IF(Språk!#REF!&lt;=E127,F127,1)</f>
        <v>#REF!</v>
      </c>
      <c r="D127" s="1">
        <v>3250</v>
      </c>
      <c r="E127" s="1">
        <v>3850</v>
      </c>
      <c r="F127" s="1">
        <v>2550</v>
      </c>
    </row>
    <row r="128" spans="1:6" ht="12.75">
      <c r="A128" s="1">
        <v>2600</v>
      </c>
      <c r="B128" s="1" t="e">
        <f>IF(Språk!#REF!&gt;=D128,F128,0)</f>
        <v>#REF!</v>
      </c>
      <c r="C128" s="1" t="e">
        <f>IF(Språk!#REF!&lt;=E128,F128,1)</f>
        <v>#REF!</v>
      </c>
      <c r="D128" s="1">
        <v>3300</v>
      </c>
      <c r="E128" s="1">
        <v>3900</v>
      </c>
      <c r="F128" s="1">
        <v>2600</v>
      </c>
    </row>
    <row r="129" spans="1:6" ht="12.75">
      <c r="A129" s="1">
        <v>2650</v>
      </c>
      <c r="B129" s="1" t="e">
        <f>IF(Språk!#REF!&gt;=D129,F129,0)</f>
        <v>#REF!</v>
      </c>
      <c r="C129" s="1" t="e">
        <f>IF(Språk!#REF!&lt;=E129,F129,1)</f>
        <v>#REF!</v>
      </c>
      <c r="D129" s="1">
        <v>3350</v>
      </c>
      <c r="E129" s="1">
        <v>3950</v>
      </c>
      <c r="F129" s="1">
        <v>2650</v>
      </c>
    </row>
    <row r="130" spans="1:6" ht="12.75">
      <c r="A130" s="1">
        <v>2700</v>
      </c>
      <c r="B130" s="1" t="e">
        <f>IF(Språk!#REF!&gt;=D130,F130,0)</f>
        <v>#REF!</v>
      </c>
      <c r="C130" s="1" t="e">
        <f>IF(Språk!#REF!&lt;=E130,F130,1)</f>
        <v>#REF!</v>
      </c>
      <c r="D130" s="1">
        <v>3400</v>
      </c>
      <c r="E130" s="1">
        <v>4000</v>
      </c>
      <c r="F130" s="1">
        <v>2700</v>
      </c>
    </row>
    <row r="131" spans="1:6" ht="12.75">
      <c r="A131" s="1">
        <v>2750</v>
      </c>
      <c r="B131" s="1" t="e">
        <f>IF(Språk!#REF!&gt;=D131,F131,0)</f>
        <v>#REF!</v>
      </c>
      <c r="C131" s="1" t="e">
        <f>IF(Språk!#REF!&lt;=E131,F131,1)</f>
        <v>#REF!</v>
      </c>
      <c r="D131" s="1">
        <v>3450</v>
      </c>
      <c r="E131" s="1">
        <v>4050</v>
      </c>
      <c r="F131" s="1">
        <v>2750</v>
      </c>
    </row>
    <row r="132" spans="1:6" ht="12.75">
      <c r="A132" s="1">
        <v>2800</v>
      </c>
      <c r="B132" s="1" t="e">
        <f>IF(Språk!#REF!&gt;=D132,F132,0)</f>
        <v>#REF!</v>
      </c>
      <c r="C132" s="1" t="e">
        <f>IF(Språk!#REF!&lt;=E132,F132,1)</f>
        <v>#REF!</v>
      </c>
      <c r="D132" s="1">
        <v>3500</v>
      </c>
      <c r="E132" s="1">
        <v>4100</v>
      </c>
      <c r="F132" s="1">
        <v>2800</v>
      </c>
    </row>
    <row r="133" spans="1:6" ht="12.75">
      <c r="A133" s="1">
        <v>2850</v>
      </c>
      <c r="B133" s="1" t="e">
        <f>IF(Språk!#REF!&gt;=D133,F133,0)</f>
        <v>#REF!</v>
      </c>
      <c r="C133" s="1" t="e">
        <f>IF(Språk!#REF!&lt;=E133,F133,1)</f>
        <v>#REF!</v>
      </c>
      <c r="D133" s="1">
        <v>3550</v>
      </c>
      <c r="E133" s="1">
        <v>4150</v>
      </c>
      <c r="F133" s="1">
        <v>2850</v>
      </c>
    </row>
    <row r="134" spans="1:6" ht="12.75">
      <c r="A134" s="1">
        <v>2900</v>
      </c>
      <c r="B134" s="1" t="e">
        <f>IF(Språk!#REF!&gt;=D134,F134,0)</f>
        <v>#REF!</v>
      </c>
      <c r="C134" s="1" t="e">
        <f>IF(Språk!#REF!&lt;=E134,F134,1)</f>
        <v>#REF!</v>
      </c>
      <c r="D134" s="1">
        <v>3600</v>
      </c>
      <c r="E134" s="1">
        <v>4200</v>
      </c>
      <c r="F134" s="1">
        <v>2900</v>
      </c>
    </row>
    <row r="135" spans="1:6" ht="12.75">
      <c r="A135" s="1">
        <v>2950</v>
      </c>
      <c r="B135" s="1" t="e">
        <f>IF(Språk!#REF!&gt;=D135,F135,0)</f>
        <v>#REF!</v>
      </c>
      <c r="C135" s="1" t="e">
        <f>IF(Språk!#REF!&lt;=E135,F135,1)</f>
        <v>#REF!</v>
      </c>
      <c r="D135" s="1">
        <v>3650</v>
      </c>
      <c r="E135" s="1">
        <v>4250</v>
      </c>
      <c r="F135" s="1">
        <v>2950</v>
      </c>
    </row>
    <row r="136" spans="1:6" ht="12.75">
      <c r="A136" s="1">
        <v>3000</v>
      </c>
      <c r="B136" s="1" t="e">
        <f>IF(Språk!#REF!&gt;=D136,F136,0)</f>
        <v>#REF!</v>
      </c>
      <c r="C136" s="1" t="e">
        <f>IF(Språk!#REF!&lt;=E136,F136,1)</f>
        <v>#REF!</v>
      </c>
      <c r="D136" s="1">
        <v>3700</v>
      </c>
      <c r="E136" s="1">
        <v>4300</v>
      </c>
      <c r="F136" s="1">
        <v>3000</v>
      </c>
    </row>
    <row r="137" spans="1:6" ht="12.75">
      <c r="A137" s="1">
        <v>3050</v>
      </c>
      <c r="B137" s="1" t="e">
        <f>IF(Språk!#REF!&gt;=D137,F137,0)</f>
        <v>#REF!</v>
      </c>
      <c r="C137" s="1" t="e">
        <f>IF(Språk!#REF!&lt;=E137,F137,1)</f>
        <v>#REF!</v>
      </c>
      <c r="D137" s="1">
        <v>3750</v>
      </c>
      <c r="E137" s="1">
        <v>4350</v>
      </c>
      <c r="F137" s="1">
        <v>3050</v>
      </c>
    </row>
    <row r="138" spans="1:6" ht="12.75">
      <c r="A138" s="1">
        <v>3100</v>
      </c>
      <c r="B138" s="1" t="e">
        <f>IF(Språk!#REF!&gt;=D138,F138,0)</f>
        <v>#REF!</v>
      </c>
      <c r="C138" s="1" t="e">
        <f>IF(Språk!#REF!&lt;=E138,F138,1)</f>
        <v>#REF!</v>
      </c>
      <c r="D138" s="1">
        <v>3800</v>
      </c>
      <c r="E138" s="1">
        <v>4400</v>
      </c>
      <c r="F138" s="1">
        <v>3100</v>
      </c>
    </row>
    <row r="139" spans="1:6" ht="12.75">
      <c r="A139" s="1">
        <v>3150</v>
      </c>
      <c r="B139" s="1" t="e">
        <f>IF(Språk!#REF!&gt;=D139,F139,0)</f>
        <v>#REF!</v>
      </c>
      <c r="C139" s="1" t="e">
        <f>IF(Språk!#REF!&lt;=E139,F139,1)</f>
        <v>#REF!</v>
      </c>
      <c r="D139" s="1">
        <v>3850</v>
      </c>
      <c r="E139" s="1">
        <v>4450</v>
      </c>
      <c r="F139" s="1">
        <v>3150</v>
      </c>
    </row>
    <row r="140" spans="1:6" ht="12.75">
      <c r="A140" s="1">
        <v>3200</v>
      </c>
      <c r="B140" s="1" t="e">
        <f>IF(Språk!#REF!&gt;=D140,F140,0)</f>
        <v>#REF!</v>
      </c>
      <c r="C140" s="1" t="e">
        <f>IF(Språk!#REF!&lt;=E140,F140,1)</f>
        <v>#REF!</v>
      </c>
      <c r="D140" s="1">
        <v>3900</v>
      </c>
      <c r="E140" s="1">
        <v>4500</v>
      </c>
      <c r="F140" s="1">
        <v>3200</v>
      </c>
    </row>
    <row r="142" ht="12.75">
      <c r="A142" s="1" t="s">
        <v>38</v>
      </c>
    </row>
    <row r="144" ht="12.75">
      <c r="A144" s="1">
        <v>1700</v>
      </c>
    </row>
    <row r="145" ht="12.75">
      <c r="A145" s="1">
        <v>1750</v>
      </c>
    </row>
    <row r="146" ht="12.75">
      <c r="A146" s="1">
        <v>1800</v>
      </c>
    </row>
    <row r="147" ht="12.75">
      <c r="A147" s="1">
        <v>1850</v>
      </c>
    </row>
    <row r="148" ht="12.75">
      <c r="A148" s="1">
        <v>1900</v>
      </c>
    </row>
    <row r="149" ht="12.75">
      <c r="A149" s="1">
        <v>1950</v>
      </c>
    </row>
    <row r="150" ht="12.75">
      <c r="A150" s="1">
        <v>2000</v>
      </c>
    </row>
    <row r="151" ht="12.75">
      <c r="A151" s="1">
        <v>2050</v>
      </c>
    </row>
    <row r="152" ht="12.75">
      <c r="A152" s="1">
        <v>2100</v>
      </c>
    </row>
    <row r="153" ht="12.75">
      <c r="A153" s="1">
        <v>2150</v>
      </c>
    </row>
    <row r="154" ht="12.75">
      <c r="A154" s="1">
        <v>2200</v>
      </c>
    </row>
    <row r="155" ht="12.75">
      <c r="A155" s="1">
        <v>2250</v>
      </c>
    </row>
    <row r="156" ht="12.75">
      <c r="A156" s="1">
        <v>2300</v>
      </c>
    </row>
    <row r="157" ht="12.75">
      <c r="A157" s="1">
        <v>2350</v>
      </c>
    </row>
    <row r="158" ht="12.75">
      <c r="A158" s="1">
        <v>2400</v>
      </c>
    </row>
    <row r="159" ht="12.75">
      <c r="A159" s="1">
        <v>2450</v>
      </c>
    </row>
    <row r="160" ht="12.75">
      <c r="A160" s="1">
        <v>2500</v>
      </c>
    </row>
    <row r="161" ht="12.75">
      <c r="A161" s="1">
        <v>2550</v>
      </c>
    </row>
    <row r="162" ht="12.75">
      <c r="A162" s="1">
        <v>2600</v>
      </c>
    </row>
    <row r="163" ht="12.75">
      <c r="A163" s="1">
        <v>2650</v>
      </c>
    </row>
    <row r="164" ht="12.75">
      <c r="A164" s="1">
        <v>2700</v>
      </c>
    </row>
    <row r="165" ht="12.75">
      <c r="A165" s="1">
        <v>2750</v>
      </c>
    </row>
    <row r="166" ht="12.75">
      <c r="A166" s="1">
        <v>2800</v>
      </c>
    </row>
    <row r="167" ht="12.75">
      <c r="A167" s="1">
        <v>2850</v>
      </c>
    </row>
    <row r="168" ht="12.75">
      <c r="A168" s="1">
        <v>2900</v>
      </c>
    </row>
    <row r="169" ht="12.75">
      <c r="A169" s="1">
        <v>2950</v>
      </c>
    </row>
    <row r="170" ht="12.75">
      <c r="A170" s="1">
        <v>3000</v>
      </c>
    </row>
    <row r="171" ht="12.75">
      <c r="A171" s="1">
        <v>3050</v>
      </c>
    </row>
    <row r="172" ht="12.75">
      <c r="A172" s="1">
        <v>3100</v>
      </c>
    </row>
    <row r="173" ht="12.75">
      <c r="A173" s="1">
        <v>3150</v>
      </c>
    </row>
    <row r="174" ht="12.75">
      <c r="A174" s="1">
        <v>3200</v>
      </c>
    </row>
    <row r="175" ht="12.75">
      <c r="A175" s="1">
        <v>3250</v>
      </c>
    </row>
    <row r="176" ht="12.75">
      <c r="A176" s="1">
        <v>3300</v>
      </c>
    </row>
    <row r="177" ht="12.75">
      <c r="A177" s="1">
        <v>3350</v>
      </c>
    </row>
    <row r="178" ht="12.75">
      <c r="A178" s="1">
        <v>3400</v>
      </c>
    </row>
    <row r="179" ht="12.75">
      <c r="A179" s="1">
        <v>3450</v>
      </c>
    </row>
    <row r="180" ht="12.75">
      <c r="A180" s="1">
        <v>3500</v>
      </c>
    </row>
    <row r="181" ht="12.75">
      <c r="A181" s="1">
        <v>3550</v>
      </c>
    </row>
    <row r="182" ht="12.75">
      <c r="A182" s="1">
        <v>3600</v>
      </c>
    </row>
    <row r="183" ht="12.75">
      <c r="A183" s="1">
        <v>3650</v>
      </c>
    </row>
    <row r="184" ht="12.75">
      <c r="A184" s="1">
        <v>3700</v>
      </c>
    </row>
    <row r="185" ht="12.75">
      <c r="A185" s="1">
        <v>3750</v>
      </c>
    </row>
    <row r="186" ht="12.75">
      <c r="A186" s="1">
        <v>3800</v>
      </c>
    </row>
    <row r="187" ht="12.75">
      <c r="A187" s="1">
        <v>3850</v>
      </c>
    </row>
    <row r="188" ht="12.75">
      <c r="A188" s="1">
        <v>3900</v>
      </c>
    </row>
    <row r="189" ht="12.75">
      <c r="A189" s="1">
        <v>3950</v>
      </c>
    </row>
    <row r="190" ht="12.75">
      <c r="A190" s="1">
        <v>4000</v>
      </c>
    </row>
    <row r="191" ht="12.75">
      <c r="A191" s="1">
        <v>4050</v>
      </c>
    </row>
    <row r="192" ht="12.75">
      <c r="A192" s="1">
        <v>4100</v>
      </c>
    </row>
    <row r="193" ht="12.75">
      <c r="A193" s="1">
        <v>4150</v>
      </c>
    </row>
    <row r="194" ht="12.75">
      <c r="A194" s="1">
        <v>4200</v>
      </c>
    </row>
    <row r="195" ht="12.75">
      <c r="A195" s="1">
        <v>4250</v>
      </c>
    </row>
    <row r="196" ht="12.75">
      <c r="A196" s="1">
        <v>4300</v>
      </c>
    </row>
    <row r="197" ht="12.75">
      <c r="A197" s="1">
        <v>4350</v>
      </c>
    </row>
    <row r="198" ht="12.75">
      <c r="A198" s="1">
        <v>4400</v>
      </c>
    </row>
    <row r="199" ht="12.75">
      <c r="A199" s="1">
        <v>4450</v>
      </c>
    </row>
    <row r="200" ht="12.75">
      <c r="A200" s="1">
        <v>4500</v>
      </c>
    </row>
    <row r="201" ht="12.75">
      <c r="A201" s="1">
        <v>4550</v>
      </c>
    </row>
    <row r="202" ht="12.75">
      <c r="A202" s="1">
        <v>4600</v>
      </c>
    </row>
    <row r="203" ht="12.75">
      <c r="A203" s="1">
        <v>4650</v>
      </c>
    </row>
    <row r="204" ht="12.75">
      <c r="A204" s="1">
        <v>4700</v>
      </c>
    </row>
    <row r="205" ht="12.75">
      <c r="A205" s="1">
        <v>4750</v>
      </c>
    </row>
    <row r="206" ht="12.75">
      <c r="A206" s="1">
        <v>4800</v>
      </c>
    </row>
    <row r="207" ht="12.75">
      <c r="A207" s="1">
        <v>4850</v>
      </c>
    </row>
    <row r="208" ht="12.75">
      <c r="A208" s="1">
        <v>4900</v>
      </c>
    </row>
    <row r="209" ht="12.75">
      <c r="A209" s="1">
        <v>4950</v>
      </c>
    </row>
    <row r="210" ht="12.75">
      <c r="A210" s="1">
        <v>5000</v>
      </c>
    </row>
    <row r="211" ht="12.75">
      <c r="A211" s="1">
        <v>5050</v>
      </c>
    </row>
    <row r="212" ht="12.75">
      <c r="A212" s="1">
        <v>5100</v>
      </c>
    </row>
    <row r="213" ht="12.75">
      <c r="A213" s="1">
        <v>5150</v>
      </c>
    </row>
    <row r="214" ht="12.75">
      <c r="A214" s="1">
        <v>5200</v>
      </c>
    </row>
    <row r="215" ht="12.75">
      <c r="A215" s="1">
        <v>5250</v>
      </c>
    </row>
    <row r="216" ht="12.75">
      <c r="A216" s="1">
        <v>5300</v>
      </c>
    </row>
    <row r="217" ht="12.75">
      <c r="A217" s="1">
        <v>5350</v>
      </c>
    </row>
    <row r="218" ht="12.75">
      <c r="A218" s="1">
        <v>5400</v>
      </c>
    </row>
    <row r="219" ht="12.75">
      <c r="A219" s="1">
        <v>5450</v>
      </c>
    </row>
    <row r="220" ht="12.75">
      <c r="A220" s="1">
        <v>5500</v>
      </c>
    </row>
    <row r="221" ht="12.75">
      <c r="A221" s="1">
        <v>5550</v>
      </c>
    </row>
    <row r="222" ht="12.75">
      <c r="A222" s="1">
        <v>5600</v>
      </c>
    </row>
    <row r="223" ht="12.75">
      <c r="A223" s="1">
        <v>5650</v>
      </c>
    </row>
    <row r="224" ht="12.75">
      <c r="A224" s="1">
        <v>5700</v>
      </c>
    </row>
    <row r="225" ht="12.75">
      <c r="A225" s="1">
        <v>5750</v>
      </c>
    </row>
    <row r="226" ht="12.75">
      <c r="A226" s="1">
        <v>5800</v>
      </c>
    </row>
    <row r="227" ht="12.75">
      <c r="A227" s="1">
        <v>5850</v>
      </c>
    </row>
    <row r="228" ht="12.75">
      <c r="A228" s="1">
        <v>5900</v>
      </c>
    </row>
    <row r="229" ht="12.75">
      <c r="A229" s="1">
        <v>5950</v>
      </c>
    </row>
    <row r="230" ht="12.75">
      <c r="A230" s="1">
        <v>6000</v>
      </c>
    </row>
    <row r="232" ht="12.75">
      <c r="A232" s="1" t="s">
        <v>39</v>
      </c>
    </row>
    <row r="234" ht="12.75">
      <c r="A234" s="1">
        <v>1000</v>
      </c>
    </row>
    <row r="235" ht="12.75">
      <c r="A235" s="1">
        <v>1100</v>
      </c>
    </row>
    <row r="236" ht="12.75">
      <c r="A236" s="1">
        <v>1200</v>
      </c>
    </row>
    <row r="237" ht="12.75">
      <c r="A237" s="1">
        <v>1300</v>
      </c>
    </row>
    <row r="238" ht="12.75">
      <c r="A238" s="1">
        <v>1400</v>
      </c>
    </row>
    <row r="239" ht="12.75">
      <c r="A239" s="1">
        <v>1500</v>
      </c>
    </row>
    <row r="240" ht="12.75">
      <c r="A240" s="1">
        <v>1600</v>
      </c>
    </row>
    <row r="241" ht="12.75">
      <c r="A241" s="1">
        <v>1700</v>
      </c>
    </row>
    <row r="242" ht="12.75">
      <c r="A242" s="1">
        <v>1800</v>
      </c>
    </row>
    <row r="243" ht="12.75">
      <c r="A243" s="1">
        <v>1900</v>
      </c>
    </row>
    <row r="244" ht="12.75">
      <c r="A244" s="1">
        <v>2000</v>
      </c>
    </row>
    <row r="245" ht="12.75">
      <c r="A245" s="1">
        <v>2100</v>
      </c>
    </row>
    <row r="246" ht="12.75">
      <c r="A246" s="1">
        <v>2200</v>
      </c>
    </row>
    <row r="247" ht="12.75">
      <c r="A247" s="1">
        <v>2300</v>
      </c>
    </row>
    <row r="248" ht="12.75">
      <c r="A248" s="1">
        <v>2400</v>
      </c>
    </row>
    <row r="249" ht="12.75">
      <c r="A249" s="1">
        <v>2500</v>
      </c>
    </row>
    <row r="250" ht="12.75">
      <c r="A250" s="1">
        <v>2600</v>
      </c>
    </row>
    <row r="251" ht="12.75">
      <c r="A251" s="1">
        <v>2700</v>
      </c>
    </row>
    <row r="252" ht="12.75">
      <c r="A252" s="1">
        <v>2800</v>
      </c>
    </row>
    <row r="253" ht="12.75">
      <c r="A253" s="1">
        <v>2900</v>
      </c>
    </row>
    <row r="254" ht="12.75">
      <c r="A254" s="1">
        <v>3000</v>
      </c>
    </row>
    <row r="255" ht="12.75">
      <c r="A255" s="1">
        <v>3100</v>
      </c>
    </row>
    <row r="256" ht="12.75">
      <c r="A256" s="1">
        <v>3200</v>
      </c>
    </row>
    <row r="258" ht="12.75">
      <c r="A258" s="4" t="s">
        <v>40</v>
      </c>
    </row>
    <row r="260" ht="12.75">
      <c r="A260" s="1">
        <v>2000</v>
      </c>
    </row>
    <row r="261" ht="12.75">
      <c r="A261" s="1">
        <v>2100</v>
      </c>
    </row>
    <row r="262" ht="12.75">
      <c r="A262" s="1">
        <v>2200</v>
      </c>
    </row>
    <row r="263" ht="12.75">
      <c r="A263" s="1">
        <v>2300</v>
      </c>
    </row>
    <row r="264" ht="12.75">
      <c r="A264" s="1">
        <v>2400</v>
      </c>
    </row>
    <row r="265" ht="12.75">
      <c r="A265" s="1">
        <v>2500</v>
      </c>
    </row>
    <row r="266" ht="12.75">
      <c r="A266" s="1">
        <v>2600</v>
      </c>
    </row>
    <row r="268" ht="12.75">
      <c r="A268" s="4" t="s">
        <v>69</v>
      </c>
    </row>
    <row r="269" ht="12.75">
      <c r="A269" s="4"/>
    </row>
    <row r="270" ht="12.75">
      <c r="A270" s="1" t="s">
        <v>68</v>
      </c>
    </row>
    <row r="271" ht="12.75">
      <c r="A271" s="1" t="s">
        <v>67</v>
      </c>
    </row>
    <row r="272" ht="12.75">
      <c r="A272" s="1" t="s">
        <v>30</v>
      </c>
    </row>
    <row r="274" ht="12.75">
      <c r="A274" s="4" t="s">
        <v>54</v>
      </c>
    </row>
    <row r="276" spans="1:2" ht="12.75">
      <c r="A276" s="1" t="s">
        <v>36</v>
      </c>
      <c r="B276" s="2"/>
    </row>
    <row r="277" spans="1:2" ht="12.75">
      <c r="A277" s="1" t="s">
        <v>55</v>
      </c>
      <c r="B277" s="2"/>
    </row>
    <row r="278" spans="1:2" ht="12.75">
      <c r="A278" s="1" t="s">
        <v>56</v>
      </c>
      <c r="B278" s="3"/>
    </row>
    <row r="279" ht="12.75">
      <c r="A279" s="1" t="s">
        <v>57</v>
      </c>
    </row>
    <row r="282" ht="12.75">
      <c r="A282" s="4" t="s">
        <v>5</v>
      </c>
    </row>
    <row r="284" ht="12.75">
      <c r="A284" s="1" t="s">
        <v>11</v>
      </c>
    </row>
    <row r="285" ht="12.75">
      <c r="A285" s="1" t="s">
        <v>4</v>
      </c>
    </row>
    <row r="288" ht="12.75">
      <c r="A288" s="4" t="s">
        <v>59</v>
      </c>
    </row>
    <row r="290" ht="12.75">
      <c r="A290" s="1" t="s">
        <v>35</v>
      </c>
    </row>
    <row r="291" ht="12.75">
      <c r="A291" s="1" t="s">
        <v>33</v>
      </c>
    </row>
    <row r="292" ht="12.75">
      <c r="A292" s="1" t="s">
        <v>34</v>
      </c>
    </row>
    <row r="294" ht="12.75">
      <c r="A294" s="1" t="s">
        <v>49</v>
      </c>
    </row>
    <row r="296" ht="12.75">
      <c r="A296" s="6">
        <v>0.05</v>
      </c>
    </row>
    <row r="297" ht="12.75">
      <c r="A297" s="6">
        <v>0.1</v>
      </c>
    </row>
    <row r="298" ht="12.75">
      <c r="A298" s="6">
        <v>0.15</v>
      </c>
    </row>
    <row r="299" ht="12.75">
      <c r="A299" s="6">
        <v>0.2</v>
      </c>
    </row>
    <row r="300" ht="12.75">
      <c r="A300" s="6">
        <v>0.25</v>
      </c>
    </row>
    <row r="301" ht="12.75">
      <c r="A301" s="6">
        <v>0.3</v>
      </c>
    </row>
    <row r="302" ht="12.75">
      <c r="A302" s="6">
        <v>0.35</v>
      </c>
    </row>
    <row r="303" ht="12.75">
      <c r="A303" s="6">
        <v>0.4</v>
      </c>
    </row>
    <row r="304" ht="12.75">
      <c r="A304" s="6">
        <v>0.45</v>
      </c>
    </row>
    <row r="305" ht="12.75">
      <c r="A305" s="6">
        <v>0.5</v>
      </c>
    </row>
    <row r="306" ht="12.75">
      <c r="A306" s="6">
        <v>0.55</v>
      </c>
    </row>
    <row r="307" ht="12.75">
      <c r="A307" s="6">
        <v>0.6</v>
      </c>
    </row>
    <row r="308" ht="12.75">
      <c r="A308" s="6">
        <v>0.63</v>
      </c>
    </row>
    <row r="311" ht="12.75">
      <c r="A311" s="4" t="s">
        <v>50</v>
      </c>
    </row>
    <row r="313" ht="12.75">
      <c r="A313" s="1" t="s">
        <v>29</v>
      </c>
    </row>
    <row r="314" ht="12.75">
      <c r="A314" s="1" t="s">
        <v>18</v>
      </c>
    </row>
    <row r="316" ht="12.75">
      <c r="A316" s="4" t="s">
        <v>9</v>
      </c>
    </row>
    <row r="318" ht="12.75">
      <c r="A318" s="1">
        <v>-2</v>
      </c>
    </row>
    <row r="319" ht="12.75">
      <c r="A319" s="1">
        <v>-1</v>
      </c>
    </row>
    <row r="320" ht="12.75">
      <c r="A320" s="1">
        <v>0</v>
      </c>
    </row>
    <row r="321" ht="12.75">
      <c r="A321" s="1">
        <v>1</v>
      </c>
    </row>
    <row r="322" ht="12.75">
      <c r="A322" s="1">
        <v>2</v>
      </c>
    </row>
    <row r="323" ht="12.75">
      <c r="A323" s="1">
        <v>3</v>
      </c>
    </row>
    <row r="324" ht="12.75">
      <c r="A324" s="1">
        <v>4</v>
      </c>
    </row>
    <row r="325" ht="12.75">
      <c r="A325" s="1">
        <v>5</v>
      </c>
    </row>
    <row r="326" ht="12.75">
      <c r="A326" s="1">
        <v>6</v>
      </c>
    </row>
    <row r="327" ht="12.75">
      <c r="A327" s="1">
        <v>7</v>
      </c>
    </row>
    <row r="328" ht="12.75">
      <c r="A328" s="1">
        <v>8</v>
      </c>
    </row>
    <row r="330" ht="12.75">
      <c r="A330" s="4" t="s">
        <v>8</v>
      </c>
    </row>
    <row r="332" ht="12.75">
      <c r="A332" s="10" t="e">
        <f>VLOOKUP(210,Språk!#REF!,Språk!$A$2,FALSE)</f>
        <v>#REF!</v>
      </c>
    </row>
    <row r="333" ht="12.75">
      <c r="A333" s="10" t="e">
        <f>VLOOKUP(211,Språk!#REF!,Språk!$A$2,FALSE)</f>
        <v>#REF!</v>
      </c>
    </row>
    <row r="335" ht="12.75">
      <c r="A335" s="4" t="s">
        <v>51</v>
      </c>
    </row>
    <row r="336" ht="12.75">
      <c r="A336" s="4"/>
    </row>
    <row r="337" ht="12.75">
      <c r="A337" s="1">
        <v>1.5</v>
      </c>
    </row>
    <row r="338" ht="12.75">
      <c r="A338" s="1">
        <v>2</v>
      </c>
    </row>
    <row r="339" ht="12.75">
      <c r="A339" s="1">
        <v>2.5</v>
      </c>
    </row>
    <row r="340" ht="12.75">
      <c r="A340" s="1">
        <v>3</v>
      </c>
    </row>
    <row r="341" ht="12.75">
      <c r="A341" s="1">
        <v>3.5</v>
      </c>
    </row>
    <row r="342" ht="12.75">
      <c r="A342" s="1">
        <v>4</v>
      </c>
    </row>
    <row r="343" ht="12.75">
      <c r="A343" s="1">
        <v>4.5</v>
      </c>
    </row>
    <row r="344" ht="12.75">
      <c r="A344" s="1">
        <v>5</v>
      </c>
    </row>
    <row r="345" ht="12.75">
      <c r="A345" s="1">
        <v>5.5</v>
      </c>
    </row>
    <row r="346" ht="12.75">
      <c r="A346" s="1">
        <v>6</v>
      </c>
    </row>
    <row r="347" ht="12.75">
      <c r="A347" s="1">
        <v>6.5</v>
      </c>
    </row>
    <row r="348" ht="12.75">
      <c r="A348" s="1">
        <v>7</v>
      </c>
    </row>
    <row r="349" ht="12.75">
      <c r="A349" s="1">
        <v>7.5</v>
      </c>
    </row>
    <row r="350" ht="12.75">
      <c r="A350" s="1">
        <v>8</v>
      </c>
    </row>
    <row r="351" ht="12.75">
      <c r="A351" s="1">
        <v>8.5</v>
      </c>
    </row>
    <row r="352" ht="12.75">
      <c r="A352" s="1">
        <v>9</v>
      </c>
    </row>
    <row r="353" ht="12.75">
      <c r="A353" s="1">
        <v>9.5</v>
      </c>
    </row>
    <row r="354" ht="12.75">
      <c r="A354" s="1">
        <v>10</v>
      </c>
    </row>
    <row r="355" ht="12.75">
      <c r="A355" s="1">
        <v>10.5</v>
      </c>
    </row>
    <row r="356" ht="12.75">
      <c r="A356" s="1">
        <v>11</v>
      </c>
    </row>
    <row r="357" ht="12.75">
      <c r="A357" s="1">
        <v>11.5</v>
      </c>
    </row>
    <row r="358" ht="12.75">
      <c r="A358" s="1">
        <v>12</v>
      </c>
    </row>
    <row r="359" ht="12.75">
      <c r="A359" s="1">
        <v>12.5</v>
      </c>
    </row>
    <row r="360" ht="12.75">
      <c r="A360" s="1">
        <v>13</v>
      </c>
    </row>
    <row r="361" ht="12.75">
      <c r="A361" s="1">
        <v>13.5</v>
      </c>
    </row>
    <row r="362" ht="12.75">
      <c r="A362" s="1">
        <v>14</v>
      </c>
    </row>
    <row r="363" ht="12.75">
      <c r="A363" s="1">
        <v>14.5</v>
      </c>
    </row>
    <row r="364" ht="12.75">
      <c r="A364" s="1">
        <v>15</v>
      </c>
    </row>
    <row r="365" ht="12.75">
      <c r="A365" s="1">
        <v>15.5</v>
      </c>
    </row>
    <row r="366" ht="12.75">
      <c r="A366" s="1">
        <v>16</v>
      </c>
    </row>
    <row r="367" ht="12.75">
      <c r="A367" s="1">
        <v>16.5</v>
      </c>
    </row>
    <row r="368" ht="12.75">
      <c r="A368" s="1">
        <v>17</v>
      </c>
    </row>
    <row r="371" ht="12.75">
      <c r="A371" s="4" t="s">
        <v>52</v>
      </c>
    </row>
    <row r="373" ht="12.75">
      <c r="A373" s="1">
        <v>1</v>
      </c>
    </row>
    <row r="374" ht="12.75">
      <c r="A374" s="1">
        <v>2</v>
      </c>
    </row>
    <row r="375" ht="12.75">
      <c r="A375" s="1">
        <v>3</v>
      </c>
    </row>
    <row r="377" ht="12.75">
      <c r="A377" s="4" t="s">
        <v>31</v>
      </c>
    </row>
    <row r="379" ht="12.75">
      <c r="A379" s="10" t="e">
        <f>VLOOKUP(220,Språk!#REF!,Språk!$A$2,FALSE)</f>
        <v>#REF!</v>
      </c>
    </row>
    <row r="380" ht="12.75">
      <c r="A380" s="10" t="e">
        <f>VLOOKUP(221,Språk!#REF!,Språk!$A$2,FALSE)</f>
        <v>#REF!</v>
      </c>
    </row>
    <row r="381" ht="12.75">
      <c r="A381" s="10" t="e">
        <f>VLOOKUP(222,Språk!#REF!,Språk!$A$2,FALSE)</f>
        <v>#REF!</v>
      </c>
    </row>
    <row r="382" ht="12.75">
      <c r="A382" s="4"/>
    </row>
    <row r="383" ht="12.75">
      <c r="A383" s="4" t="s">
        <v>10</v>
      </c>
    </row>
    <row r="385" ht="12.75">
      <c r="A385" s="1">
        <v>230</v>
      </c>
    </row>
    <row r="386" ht="12.75">
      <c r="A386" s="1">
        <v>400</v>
      </c>
    </row>
    <row r="388" ht="12.75">
      <c r="A388" s="4" t="s">
        <v>37</v>
      </c>
    </row>
    <row r="390" ht="12.75">
      <c r="A390" s="10" t="e">
        <f>VLOOKUP(230,Språk!#REF!,Språk!$A$2,FALSE)</f>
        <v>#REF!</v>
      </c>
    </row>
    <row r="391" ht="12.75">
      <c r="A391" s="10" t="e">
        <f>VLOOKUP(231,Språk!#REF!,Språk!$A$2,FALSE)</f>
        <v>#REF!</v>
      </c>
    </row>
    <row r="392" ht="12.75">
      <c r="A392" s="10" t="e">
        <f>VLOOKUP(232,Språk!#REF!,Språk!$A$2,FALSE)</f>
        <v>#REF!</v>
      </c>
    </row>
    <row r="394" ht="12.75">
      <c r="A394" s="4" t="s">
        <v>64</v>
      </c>
    </row>
    <row r="396" ht="12.75">
      <c r="A396" s="10" t="e">
        <f>VLOOKUP(250,Språk!#REF!,Språk!$A$2,FALSE)</f>
        <v>#REF!</v>
      </c>
    </row>
    <row r="397" ht="12.75">
      <c r="A397" s="10" t="e">
        <f>VLOOKUP(251,Språk!#REF!,Språk!$A$2,FALSE)</f>
        <v>#REF!</v>
      </c>
    </row>
    <row r="399" ht="12.75">
      <c r="A399" s="4" t="s">
        <v>65</v>
      </c>
    </row>
    <row r="401" ht="12.75">
      <c r="A401" s="10" t="e">
        <f>VLOOKUP(260,Språk!#REF!,Språk!$A$2,FALSE)</f>
        <v>#REF!</v>
      </c>
    </row>
    <row r="402" ht="12.75">
      <c r="A402" s="10" t="e">
        <f>VLOOKUP(261,Språk!#REF!,Språk!$A$2,FALSE)</f>
        <v>#REF!</v>
      </c>
    </row>
    <row r="403" ht="12.75">
      <c r="A403" s="10" t="e">
        <f>VLOOKUP(262,Språk!#REF!,Språk!$A$2,FALSE)</f>
        <v>#REF!</v>
      </c>
    </row>
    <row r="404" ht="12.75">
      <c r="A404" s="10" t="e">
        <f>VLOOKUP(263,Språk!#REF!,Språk!$A$2,FALSE)</f>
        <v>#REF!</v>
      </c>
    </row>
    <row r="405" ht="12.75">
      <c r="A405" s="10" t="e">
        <f>VLOOKUP(264,Språk!#REF!,Språk!$A$2,FALSE)</f>
        <v>#REF!</v>
      </c>
    </row>
    <row r="407" ht="12.75">
      <c r="A407" s="4" t="s">
        <v>66</v>
      </c>
    </row>
    <row r="409" ht="12.75">
      <c r="A409" s="10" t="e">
        <f>VLOOKUP(280,Språk!#REF!,Språk!$A$2,FALSE)</f>
        <v>#REF!</v>
      </c>
    </row>
    <row r="410" ht="12.75">
      <c r="A410" s="10" t="e">
        <f>VLOOKUP(281,Språk!#REF!,Språk!$A$2,FALSE)</f>
        <v>#REF!</v>
      </c>
    </row>
    <row r="411" ht="12.75">
      <c r="A411" s="10" t="e">
        <f>VLOOKUP(282,Språk!#REF!,Språk!$A$2,FALSE)</f>
        <v>#REF!</v>
      </c>
    </row>
    <row r="413" ht="12.75">
      <c r="A413" s="1" t="s">
        <v>47</v>
      </c>
    </row>
    <row r="415" ht="12.75">
      <c r="A415" s="10" t="e">
        <f>VLOOKUP(270,Språk!#REF!,Språk!$A$2,FALSE)</f>
        <v>#REF!</v>
      </c>
    </row>
    <row r="416" ht="12.75">
      <c r="A416" s="10" t="e">
        <f>VLOOKUP(271,Språk!#REF!,Språk!$A$2,FALSE)</f>
        <v>#REF!</v>
      </c>
    </row>
    <row r="417" ht="12.75">
      <c r="A417" s="10" t="e">
        <f>VLOOKUP(272,Språk!#REF!,Språk!$A$2,FALSE)</f>
        <v>#REF!</v>
      </c>
    </row>
    <row r="418" ht="12.75">
      <c r="A418" s="10" t="e">
        <f>VLOOKUP(273,Språk!#REF!,Språk!$A$2,FALSE)</f>
        <v>#REF!</v>
      </c>
    </row>
    <row r="419" ht="12.75">
      <c r="A419" s="10" t="e">
        <f>VLOOKUP(274,Språk!#REF!,Språk!$A$2,FALSE)</f>
        <v>#REF!</v>
      </c>
    </row>
    <row r="420" ht="12.75">
      <c r="A420" s="10" t="e">
        <f>VLOOKUP(275,Språk!#REF!,Språk!$A$2,FALSE)</f>
        <v>#REF!</v>
      </c>
    </row>
    <row r="421" ht="12.75">
      <c r="A421" s="10" t="e">
        <f>VLOOKUP(276,Språk!#REF!,Språk!$A$2,FALSE)</f>
        <v>#REF!</v>
      </c>
    </row>
    <row r="423" ht="12.75">
      <c r="A423" s="1" t="s">
        <v>70</v>
      </c>
    </row>
    <row r="425" ht="12.75">
      <c r="A425" s="1" t="s">
        <v>72</v>
      </c>
    </row>
    <row r="426" ht="12.75">
      <c r="A426" s="1" t="s"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Q155"/>
  <sheetViews>
    <sheetView zoomScalePageLayoutView="0" workbookViewId="0" topLeftCell="A87">
      <selection activeCell="A104" sqref="A104"/>
    </sheetView>
  </sheetViews>
  <sheetFormatPr defaultColWidth="9.140625" defaultRowHeight="12.75"/>
  <cols>
    <col min="1" max="1" width="44.140625" style="1" customWidth="1"/>
    <col min="2" max="2" width="7.140625" style="1" customWidth="1"/>
    <col min="3" max="4" width="45.140625" style="1" customWidth="1"/>
    <col min="5" max="5" width="45.140625" style="2" customWidth="1"/>
    <col min="6" max="8" width="45.140625" style="1" customWidth="1"/>
    <col min="9" max="16384" width="9.140625" style="1" customWidth="1"/>
  </cols>
  <sheetData>
    <row r="1" spans="1:4" ht="12.75">
      <c r="A1" s="1" t="s">
        <v>73</v>
      </c>
      <c r="B1" s="5"/>
      <c r="C1" s="5"/>
      <c r="D1" s="5"/>
    </row>
    <row r="2" spans="1:3" ht="12.75">
      <c r="A2" s="5">
        <f>VLOOKUP(Order!B2,B2:C9,2,FALSE)</f>
        <v>3</v>
      </c>
      <c r="B2" s="7" t="s">
        <v>787</v>
      </c>
      <c r="C2" s="5">
        <v>2</v>
      </c>
    </row>
    <row r="3" spans="2:4" ht="12.75">
      <c r="B3" s="7" t="s">
        <v>788</v>
      </c>
      <c r="C3" s="5">
        <v>3</v>
      </c>
      <c r="D3" s="5"/>
    </row>
    <row r="4" spans="2:4" ht="12.75">
      <c r="B4" s="16" t="s">
        <v>93</v>
      </c>
      <c r="C4" s="5">
        <v>4</v>
      </c>
      <c r="D4" s="5"/>
    </row>
    <row r="5" spans="2:4" ht="12.75">
      <c r="B5" s="7" t="s">
        <v>789</v>
      </c>
      <c r="C5" s="5">
        <v>5</v>
      </c>
      <c r="D5" s="5"/>
    </row>
    <row r="6" spans="2:4" ht="12.75">
      <c r="B6" s="1" t="s">
        <v>798</v>
      </c>
      <c r="C6" s="5">
        <v>6</v>
      </c>
      <c r="D6" s="5"/>
    </row>
    <row r="7" spans="2:4" ht="12.75">
      <c r="B7" s="13" t="s">
        <v>799</v>
      </c>
      <c r="C7" s="5">
        <v>7</v>
      </c>
      <c r="D7" s="5"/>
    </row>
    <row r="8" spans="2:4" ht="12.75">
      <c r="B8" s="5"/>
      <c r="C8" s="5"/>
      <c r="D8" s="5"/>
    </row>
    <row r="9" spans="2:4" ht="12.75">
      <c r="B9" s="5"/>
      <c r="C9" s="5"/>
      <c r="D9" s="5"/>
    </row>
    <row r="10" spans="2:8" ht="12.75">
      <c r="B10" s="5"/>
      <c r="C10" s="5" t="s">
        <v>20</v>
      </c>
      <c r="D10" s="5" t="s">
        <v>21</v>
      </c>
      <c r="E10" s="14" t="s">
        <v>93</v>
      </c>
      <c r="F10" s="1" t="s">
        <v>22</v>
      </c>
      <c r="G10" s="5" t="s">
        <v>23</v>
      </c>
      <c r="H10" s="1" t="s">
        <v>24</v>
      </c>
    </row>
    <row r="11" spans="1:8" ht="12.75">
      <c r="A11" s="1" t="str">
        <f aca="true" t="shared" si="0" ref="A11:A42">VLOOKUP(B11,B11:H11,$A$2,TRUE)</f>
        <v>Hydroware Elevation Technology AB</v>
      </c>
      <c r="B11" s="5">
        <v>1</v>
      </c>
      <c r="C11" s="7" t="s">
        <v>92</v>
      </c>
      <c r="D11" s="7" t="s">
        <v>92</v>
      </c>
      <c r="E11" s="61" t="s">
        <v>92</v>
      </c>
      <c r="F11" s="7" t="s">
        <v>92</v>
      </c>
      <c r="G11" s="7" t="s">
        <v>92</v>
      </c>
      <c r="H11" s="7" t="s">
        <v>92</v>
      </c>
    </row>
    <row r="12" spans="1:8" ht="14.25">
      <c r="A12" s="1" t="str">
        <f t="shared" si="0"/>
        <v>Språk:</v>
      </c>
      <c r="B12" s="5">
        <v>2</v>
      </c>
      <c r="C12" s="15" t="s">
        <v>25</v>
      </c>
      <c r="D12" s="5" t="s">
        <v>26</v>
      </c>
      <c r="E12" s="62" t="s">
        <v>171</v>
      </c>
      <c r="F12" s="19" t="s">
        <v>74</v>
      </c>
      <c r="G12" s="22" t="s">
        <v>75</v>
      </c>
      <c r="H12" t="s">
        <v>76</v>
      </c>
    </row>
    <row r="13" spans="1:8" ht="12.75">
      <c r="A13" s="1" t="str">
        <f t="shared" si="0"/>
        <v>Allmänna Data</v>
      </c>
      <c r="B13" s="5">
        <v>3</v>
      </c>
      <c r="C13" s="28" t="s">
        <v>172</v>
      </c>
      <c r="D13" s="28" t="s">
        <v>173</v>
      </c>
      <c r="E13" s="63" t="s">
        <v>174</v>
      </c>
      <c r="F13" s="4" t="s">
        <v>175</v>
      </c>
      <c r="G13" s="28" t="s">
        <v>176</v>
      </c>
      <c r="H13" s="4" t="s">
        <v>177</v>
      </c>
    </row>
    <row r="14" spans="1:8" ht="12.75">
      <c r="A14" s="1" t="str">
        <f t="shared" si="0"/>
        <v>OFFERT</v>
      </c>
      <c r="B14" s="5">
        <v>4</v>
      </c>
      <c r="C14" s="19" t="s">
        <v>178</v>
      </c>
      <c r="D14" s="19" t="s">
        <v>179</v>
      </c>
      <c r="E14" s="41" t="s">
        <v>180</v>
      </c>
      <c r="F14" s="19" t="s">
        <v>90</v>
      </c>
      <c r="G14" s="19" t="s">
        <v>181</v>
      </c>
      <c r="H14" s="19" t="s">
        <v>182</v>
      </c>
    </row>
    <row r="15" spans="1:8" ht="12.75">
      <c r="A15" s="1" t="str">
        <f t="shared" si="0"/>
        <v>ORDER</v>
      </c>
      <c r="B15" s="5">
        <v>5</v>
      </c>
      <c r="C15" s="19" t="s">
        <v>88</v>
      </c>
      <c r="D15" s="19" t="s">
        <v>88</v>
      </c>
      <c r="E15" s="41" t="s">
        <v>183</v>
      </c>
      <c r="F15" s="19" t="s">
        <v>89</v>
      </c>
      <c r="G15" s="19" t="s">
        <v>184</v>
      </c>
      <c r="H15" s="19" t="s">
        <v>185</v>
      </c>
    </row>
    <row r="16" spans="1:8" ht="12.75">
      <c r="A16" s="1" t="str">
        <f t="shared" si="0"/>
        <v>Kund :</v>
      </c>
      <c r="B16" s="5">
        <v>6</v>
      </c>
      <c r="C16" s="19" t="s">
        <v>94</v>
      </c>
      <c r="D16" s="19" t="s">
        <v>95</v>
      </c>
      <c r="E16" s="41" t="s">
        <v>758</v>
      </c>
      <c r="F16" s="19" t="s">
        <v>96</v>
      </c>
      <c r="G16" s="19" t="s">
        <v>97</v>
      </c>
      <c r="H16" s="19" t="s">
        <v>94</v>
      </c>
    </row>
    <row r="17" spans="1:8" ht="12.75">
      <c r="A17" s="1" t="str">
        <f t="shared" si="0"/>
        <v>Objektsnummer</v>
      </c>
      <c r="B17" s="5">
        <v>7</v>
      </c>
      <c r="C17" s="19" t="s">
        <v>98</v>
      </c>
      <c r="D17" s="19" t="s">
        <v>99</v>
      </c>
      <c r="E17" s="41" t="s">
        <v>100</v>
      </c>
      <c r="F17" s="19" t="s">
        <v>101</v>
      </c>
      <c r="G17" s="19" t="s">
        <v>109</v>
      </c>
      <c r="H17" s="19" t="s">
        <v>102</v>
      </c>
    </row>
    <row r="18" spans="1:8" ht="12.75">
      <c r="A18" s="1" t="str">
        <f t="shared" si="0"/>
        <v>Er referens:</v>
      </c>
      <c r="B18" s="5">
        <v>8</v>
      </c>
      <c r="C18" s="22" t="s">
        <v>7</v>
      </c>
      <c r="D18" s="22" t="s">
        <v>6</v>
      </c>
      <c r="E18" s="64" t="s">
        <v>103</v>
      </c>
      <c r="F18" s="27" t="s">
        <v>81</v>
      </c>
      <c r="G18" s="21" t="s">
        <v>82</v>
      </c>
      <c r="H18" s="17" t="s">
        <v>83</v>
      </c>
    </row>
    <row r="19" spans="1:8" ht="12.75">
      <c r="A19" s="1" t="str">
        <f t="shared" si="0"/>
        <v>Vår referens:</v>
      </c>
      <c r="B19" s="5">
        <v>9</v>
      </c>
      <c r="C19" s="22" t="s">
        <v>2</v>
      </c>
      <c r="D19" s="22" t="s">
        <v>48</v>
      </c>
      <c r="E19" s="64" t="s">
        <v>104</v>
      </c>
      <c r="F19" s="27" t="s">
        <v>84</v>
      </c>
      <c r="G19" s="21" t="s">
        <v>85</v>
      </c>
      <c r="H19" s="17" t="s">
        <v>86</v>
      </c>
    </row>
    <row r="20" spans="1:8" ht="12.75">
      <c r="A20" s="1" t="str">
        <f t="shared" si="0"/>
        <v>Tel:</v>
      </c>
      <c r="B20" s="5">
        <v>10</v>
      </c>
      <c r="C20" s="7" t="s">
        <v>105</v>
      </c>
      <c r="D20" s="7" t="s">
        <v>105</v>
      </c>
      <c r="E20" s="61" t="s">
        <v>106</v>
      </c>
      <c r="F20" s="7" t="s">
        <v>105</v>
      </c>
      <c r="G20" s="7" t="s">
        <v>105</v>
      </c>
      <c r="H20" s="7" t="s">
        <v>105</v>
      </c>
    </row>
    <row r="21" spans="1:8" ht="12.75">
      <c r="A21" s="1" t="str">
        <f t="shared" si="0"/>
        <v>E-mail</v>
      </c>
      <c r="B21" s="5">
        <v>11</v>
      </c>
      <c r="C21" s="7" t="s">
        <v>107</v>
      </c>
      <c r="D21" s="7" t="s">
        <v>107</v>
      </c>
      <c r="E21" s="61" t="s">
        <v>108</v>
      </c>
      <c r="F21" s="7" t="s">
        <v>107</v>
      </c>
      <c r="G21" s="7" t="s">
        <v>107</v>
      </c>
      <c r="H21" s="7" t="s">
        <v>107</v>
      </c>
    </row>
    <row r="22" spans="1:8" ht="15.75">
      <c r="A22" s="1" t="str">
        <f t="shared" si="0"/>
        <v>Provision </v>
      </c>
      <c r="B22" s="5">
        <v>12</v>
      </c>
      <c r="C22" s="30" t="s">
        <v>110</v>
      </c>
      <c r="D22" s="30" t="s">
        <v>110</v>
      </c>
      <c r="E22" s="79" t="s">
        <v>793</v>
      </c>
      <c r="F22" s="30" t="s">
        <v>111</v>
      </c>
      <c r="G22" s="30" t="s">
        <v>112</v>
      </c>
      <c r="H22" s="30" t="s">
        <v>110</v>
      </c>
    </row>
    <row r="23" spans="1:8" ht="12.75">
      <c r="A23" s="1" t="str">
        <f t="shared" si="0"/>
        <v>Modernisering</v>
      </c>
      <c r="B23" s="5">
        <v>13</v>
      </c>
      <c r="C23" s="19" t="s">
        <v>113</v>
      </c>
      <c r="D23" s="31" t="s">
        <v>114</v>
      </c>
      <c r="E23" s="65" t="s">
        <v>115</v>
      </c>
      <c r="F23" s="19" t="s">
        <v>116</v>
      </c>
      <c r="G23" s="19" t="s">
        <v>117</v>
      </c>
      <c r="H23" s="19" t="s">
        <v>118</v>
      </c>
    </row>
    <row r="24" spans="1:8" ht="12.75">
      <c r="A24" s="1" t="str">
        <f t="shared" si="0"/>
        <v>Nyinstallation</v>
      </c>
      <c r="B24" s="5">
        <v>14</v>
      </c>
      <c r="C24" s="19" t="s">
        <v>119</v>
      </c>
      <c r="D24" s="31" t="s">
        <v>120</v>
      </c>
      <c r="E24" s="65" t="s">
        <v>121</v>
      </c>
      <c r="F24" s="19" t="s">
        <v>122</v>
      </c>
      <c r="G24" s="19" t="s">
        <v>123</v>
      </c>
      <c r="H24" s="19" t="s">
        <v>124</v>
      </c>
    </row>
    <row r="25" spans="1:8" ht="12.75">
      <c r="A25" s="1" t="s">
        <v>859</v>
      </c>
      <c r="B25" s="5">
        <v>15</v>
      </c>
      <c r="C25" s="19" t="s">
        <v>859</v>
      </c>
      <c r="D25" s="31" t="s">
        <v>860</v>
      </c>
      <c r="E25" s="65" t="s">
        <v>125</v>
      </c>
      <c r="F25" s="19" t="s">
        <v>126</v>
      </c>
      <c r="G25" s="19" t="s">
        <v>127</v>
      </c>
      <c r="H25" s="19" t="s">
        <v>128</v>
      </c>
    </row>
    <row r="26" spans="1:8" ht="12.75">
      <c r="A26" s="1" t="s">
        <v>861</v>
      </c>
      <c r="B26" s="5">
        <v>16</v>
      </c>
      <c r="C26" s="19" t="s">
        <v>861</v>
      </c>
      <c r="D26" s="31" t="s">
        <v>862</v>
      </c>
      <c r="E26" s="65" t="s">
        <v>129</v>
      </c>
      <c r="F26" s="19" t="s">
        <v>130</v>
      </c>
      <c r="G26" s="19" t="s">
        <v>131</v>
      </c>
      <c r="H26" s="19" t="s">
        <v>132</v>
      </c>
    </row>
    <row r="27" spans="1:8" ht="12.75">
      <c r="A27" s="1" t="s">
        <v>863</v>
      </c>
      <c r="B27" s="5">
        <v>17</v>
      </c>
      <c r="C27" s="19" t="s">
        <v>863</v>
      </c>
      <c r="D27" s="31" t="s">
        <v>133</v>
      </c>
      <c r="E27" s="41" t="s">
        <v>134</v>
      </c>
      <c r="F27" s="19" t="s">
        <v>769</v>
      </c>
      <c r="G27" s="19" t="s">
        <v>135</v>
      </c>
      <c r="H27" s="19" t="s">
        <v>136</v>
      </c>
    </row>
    <row r="28" spans="1:8" ht="15.75">
      <c r="A28" s="1" t="str">
        <f t="shared" si="0"/>
        <v>Typ av byggnad</v>
      </c>
      <c r="B28" s="5">
        <v>18</v>
      </c>
      <c r="C28" s="32" t="s">
        <v>137</v>
      </c>
      <c r="D28" s="30" t="s">
        <v>138</v>
      </c>
      <c r="E28" s="41" t="s">
        <v>139</v>
      </c>
      <c r="F28" s="19" t="s">
        <v>140</v>
      </c>
      <c r="G28" s="19" t="s">
        <v>141</v>
      </c>
      <c r="H28" s="19" t="s">
        <v>142</v>
      </c>
    </row>
    <row r="29" spans="1:8" ht="12.75">
      <c r="A29" s="1" t="str">
        <f t="shared" si="0"/>
        <v>Bostäder</v>
      </c>
      <c r="B29" s="5">
        <v>19</v>
      </c>
      <c r="C29" s="19" t="s">
        <v>143</v>
      </c>
      <c r="D29" s="33" t="s">
        <v>144</v>
      </c>
      <c r="E29" s="41" t="s">
        <v>145</v>
      </c>
      <c r="F29" s="19" t="s">
        <v>146</v>
      </c>
      <c r="G29" s="19" t="s">
        <v>147</v>
      </c>
      <c r="H29" s="19" t="s">
        <v>148</v>
      </c>
    </row>
    <row r="30" spans="1:8" ht="12.75">
      <c r="A30" s="1" t="str">
        <f t="shared" si="0"/>
        <v>Köpcenter</v>
      </c>
      <c r="B30" s="5">
        <v>20</v>
      </c>
      <c r="C30" s="19" t="s">
        <v>149</v>
      </c>
      <c r="D30" s="33" t="s">
        <v>150</v>
      </c>
      <c r="E30" s="41" t="s">
        <v>151</v>
      </c>
      <c r="F30" s="19" t="s">
        <v>186</v>
      </c>
      <c r="G30" s="19" t="s">
        <v>152</v>
      </c>
      <c r="H30" s="19" t="s">
        <v>153</v>
      </c>
    </row>
    <row r="31" spans="1:8" ht="12.75">
      <c r="A31" s="1" t="str">
        <f t="shared" si="0"/>
        <v>Sjukhus</v>
      </c>
      <c r="B31" s="5">
        <v>21</v>
      </c>
      <c r="C31" s="19" t="s">
        <v>154</v>
      </c>
      <c r="D31" s="33" t="s">
        <v>155</v>
      </c>
      <c r="E31" s="41" t="s">
        <v>156</v>
      </c>
      <c r="F31" s="19" t="s">
        <v>187</v>
      </c>
      <c r="G31" s="19" t="s">
        <v>157</v>
      </c>
      <c r="H31" s="19" t="s">
        <v>158</v>
      </c>
    </row>
    <row r="32" spans="1:8" ht="12.75">
      <c r="A32" s="1" t="str">
        <f t="shared" si="0"/>
        <v>flygplats/ tågstation/tunnelbana</v>
      </c>
      <c r="B32" s="5">
        <v>22</v>
      </c>
      <c r="C32" s="19" t="s">
        <v>159</v>
      </c>
      <c r="D32" s="33" t="s">
        <v>160</v>
      </c>
      <c r="E32" s="41" t="s">
        <v>161</v>
      </c>
      <c r="F32" s="19" t="s">
        <v>162</v>
      </c>
      <c r="G32" s="19" t="s">
        <v>163</v>
      </c>
      <c r="H32" s="19" t="s">
        <v>164</v>
      </c>
    </row>
    <row r="33" spans="1:8" ht="12.75">
      <c r="A33" s="1" t="str">
        <f t="shared" si="0"/>
        <v>Annan</v>
      </c>
      <c r="B33" s="5">
        <v>23</v>
      </c>
      <c r="C33" s="19" t="s">
        <v>165</v>
      </c>
      <c r="D33" s="19" t="s">
        <v>166</v>
      </c>
      <c r="E33" s="41" t="s">
        <v>167</v>
      </c>
      <c r="F33" s="19" t="s">
        <v>168</v>
      </c>
      <c r="G33" s="34" t="s">
        <v>169</v>
      </c>
      <c r="H33" s="19" t="s">
        <v>170</v>
      </c>
    </row>
    <row r="34" spans="1:8" ht="12.75">
      <c r="A34" s="1" t="str">
        <f t="shared" si="0"/>
        <v>SCHAKT INFORMATION</v>
      </c>
      <c r="B34" s="5">
        <v>24</v>
      </c>
      <c r="C34" s="36" t="s">
        <v>188</v>
      </c>
      <c r="D34" s="37" t="s">
        <v>189</v>
      </c>
      <c r="E34" s="52" t="s">
        <v>193</v>
      </c>
      <c r="F34" s="37" t="s">
        <v>190</v>
      </c>
      <c r="G34" s="37" t="s">
        <v>191</v>
      </c>
      <c r="H34" s="37" t="s">
        <v>192</v>
      </c>
    </row>
    <row r="35" spans="1:8" ht="12.75">
      <c r="A35" s="1" t="str">
        <f t="shared" si="0"/>
        <v>Topp</v>
      </c>
      <c r="B35" s="5">
        <v>25</v>
      </c>
      <c r="C35" s="19" t="s">
        <v>197</v>
      </c>
      <c r="D35" s="19" t="s">
        <v>198</v>
      </c>
      <c r="E35" s="41" t="s">
        <v>199</v>
      </c>
      <c r="F35" s="19" t="s">
        <v>200</v>
      </c>
      <c r="G35" s="19" t="s">
        <v>201</v>
      </c>
      <c r="H35" s="19" t="s">
        <v>202</v>
      </c>
    </row>
    <row r="36" spans="1:8" ht="12.75">
      <c r="A36" s="1" t="str">
        <f t="shared" si="0"/>
        <v>Avstånd</v>
      </c>
      <c r="B36" s="5">
        <v>26</v>
      </c>
      <c r="C36" s="5" t="s">
        <v>203</v>
      </c>
      <c r="D36" s="7" t="s">
        <v>204</v>
      </c>
      <c r="E36" s="66" t="s">
        <v>205</v>
      </c>
      <c r="F36" s="13" t="s">
        <v>206</v>
      </c>
      <c r="G36" s="5" t="s">
        <v>207</v>
      </c>
      <c r="H36" s="13" t="s">
        <v>203</v>
      </c>
    </row>
    <row r="37" spans="1:8" ht="12.75">
      <c r="A37" s="1" t="str">
        <f t="shared" si="0"/>
        <v>Lyfthöjd</v>
      </c>
      <c r="B37" s="5">
        <v>27</v>
      </c>
      <c r="C37" s="19" t="s">
        <v>208</v>
      </c>
      <c r="D37" s="19" t="s">
        <v>209</v>
      </c>
      <c r="E37" s="41" t="s">
        <v>210</v>
      </c>
      <c r="F37" s="19" t="s">
        <v>211</v>
      </c>
      <c r="G37" s="19" t="s">
        <v>212</v>
      </c>
      <c r="H37" s="19" t="s">
        <v>213</v>
      </c>
    </row>
    <row r="38" spans="1:8" ht="12.75">
      <c r="A38" s="1" t="str">
        <f t="shared" si="0"/>
        <v>Grop</v>
      </c>
      <c r="B38" s="5">
        <v>28</v>
      </c>
      <c r="C38" s="19" t="s">
        <v>214</v>
      </c>
      <c r="D38" s="19" t="s">
        <v>215</v>
      </c>
      <c r="E38" s="41" t="s">
        <v>255</v>
      </c>
      <c r="F38" s="19" t="s">
        <v>216</v>
      </c>
      <c r="G38" s="19" t="s">
        <v>217</v>
      </c>
      <c r="H38" s="19" t="s">
        <v>218</v>
      </c>
    </row>
    <row r="39" spans="1:8" ht="12.75">
      <c r="A39" s="1" t="str">
        <f t="shared" si="0"/>
        <v>Schakthöjd</v>
      </c>
      <c r="B39" s="5">
        <v>29</v>
      </c>
      <c r="C39" s="19" t="s">
        <v>219</v>
      </c>
      <c r="D39" s="19" t="s">
        <v>220</v>
      </c>
      <c r="E39" s="41" t="s">
        <v>221</v>
      </c>
      <c r="F39" s="19" t="s">
        <v>222</v>
      </c>
      <c r="G39" s="19" t="s">
        <v>223</v>
      </c>
      <c r="H39" s="19" t="s">
        <v>224</v>
      </c>
    </row>
    <row r="40" spans="1:8" ht="12.75">
      <c r="A40" s="1" t="str">
        <f t="shared" si="0"/>
        <v>Schaktbredd</v>
      </c>
      <c r="B40" s="5">
        <v>30</v>
      </c>
      <c r="C40" s="19" t="s">
        <v>225</v>
      </c>
      <c r="D40" s="19" t="s">
        <v>226</v>
      </c>
      <c r="E40" s="41" t="s">
        <v>227</v>
      </c>
      <c r="F40" s="19" t="s">
        <v>228</v>
      </c>
      <c r="G40" s="19" t="s">
        <v>229</v>
      </c>
      <c r="H40" s="19" t="s">
        <v>230</v>
      </c>
    </row>
    <row r="41" spans="1:8" ht="12.75">
      <c r="A41" s="1" t="str">
        <f t="shared" si="0"/>
        <v>Schaktdjup</v>
      </c>
      <c r="B41" s="5">
        <v>31</v>
      </c>
      <c r="C41" s="19" t="s">
        <v>231</v>
      </c>
      <c r="D41" s="19" t="s">
        <v>232</v>
      </c>
      <c r="E41" s="41" t="s">
        <v>256</v>
      </c>
      <c r="F41" s="19" t="s">
        <v>233</v>
      </c>
      <c r="G41" s="19" t="s">
        <v>234</v>
      </c>
      <c r="H41" s="19" t="s">
        <v>235</v>
      </c>
    </row>
    <row r="42" spans="1:8" ht="12.75">
      <c r="A42" s="1" t="str">
        <f t="shared" si="0"/>
        <v>Ingång-/ar</v>
      </c>
      <c r="B42" s="5">
        <v>32</v>
      </c>
      <c r="C42" s="19" t="s">
        <v>236</v>
      </c>
      <c r="D42" s="19" t="s">
        <v>237</v>
      </c>
      <c r="E42" s="41" t="s">
        <v>238</v>
      </c>
      <c r="F42" s="19" t="s">
        <v>239</v>
      </c>
      <c r="G42" s="19" t="s">
        <v>240</v>
      </c>
      <c r="H42" s="19" t="s">
        <v>241</v>
      </c>
    </row>
    <row r="43" spans="1:8" ht="12.75">
      <c r="A43" s="1" t="str">
        <f aca="true" t="shared" si="1" ref="A43:A72">VLOOKUP(B43,B43:H43,$A$2,TRUE)</f>
        <v>Antal plan</v>
      </c>
      <c r="B43" s="5">
        <v>33</v>
      </c>
      <c r="C43" s="19" t="s">
        <v>242</v>
      </c>
      <c r="D43" s="19" t="s">
        <v>243</v>
      </c>
      <c r="E43" s="41" t="s">
        <v>257</v>
      </c>
      <c r="F43" s="19" t="s">
        <v>244</v>
      </c>
      <c r="G43" s="19" t="s">
        <v>245</v>
      </c>
      <c r="H43" s="19" t="s">
        <v>246</v>
      </c>
    </row>
    <row r="44" spans="1:8" ht="12.75">
      <c r="A44" s="1" t="str">
        <f t="shared" si="1"/>
        <v>Antal dörrar</v>
      </c>
      <c r="B44" s="5">
        <v>34</v>
      </c>
      <c r="C44" s="19" t="s">
        <v>247</v>
      </c>
      <c r="D44" s="19" t="s">
        <v>248</v>
      </c>
      <c r="E44" s="41" t="s">
        <v>258</v>
      </c>
      <c r="F44" s="19" t="s">
        <v>249</v>
      </c>
      <c r="G44" s="19" t="s">
        <v>250</v>
      </c>
      <c r="H44" s="19" t="s">
        <v>251</v>
      </c>
    </row>
    <row r="45" spans="1:8" ht="12.75">
      <c r="A45" s="1" t="str">
        <f t="shared" si="1"/>
        <v>Enligt direktiv</v>
      </c>
      <c r="B45" s="5">
        <v>35</v>
      </c>
      <c r="C45" s="19" t="s">
        <v>273</v>
      </c>
      <c r="D45" s="19" t="s">
        <v>274</v>
      </c>
      <c r="E45" s="41" t="s">
        <v>794</v>
      </c>
      <c r="F45" s="19" t="s">
        <v>275</v>
      </c>
      <c r="G45" s="19" t="s">
        <v>276</v>
      </c>
      <c r="H45" s="19" t="s">
        <v>277</v>
      </c>
    </row>
    <row r="46" spans="1:8" ht="12.75">
      <c r="A46" s="1" t="str">
        <f t="shared" si="1"/>
        <v>95/16.EN81.28</v>
      </c>
      <c r="B46" s="5">
        <v>36</v>
      </c>
      <c r="C46" s="35" t="s">
        <v>278</v>
      </c>
      <c r="D46" s="35" t="s">
        <v>278</v>
      </c>
      <c r="E46" s="38" t="s">
        <v>278</v>
      </c>
      <c r="F46" s="35" t="s">
        <v>278</v>
      </c>
      <c r="G46" s="35" t="s">
        <v>278</v>
      </c>
      <c r="H46" s="35" t="s">
        <v>278</v>
      </c>
    </row>
    <row r="47" spans="1:8" ht="12.75">
      <c r="A47" s="1" t="str">
        <f t="shared" si="1"/>
        <v>EN81.21</v>
      </c>
      <c r="B47" s="5">
        <v>37</v>
      </c>
      <c r="C47" s="35" t="s">
        <v>837</v>
      </c>
      <c r="D47" s="35" t="s">
        <v>837</v>
      </c>
      <c r="E47" s="35" t="s">
        <v>837</v>
      </c>
      <c r="F47" s="35" t="s">
        <v>837</v>
      </c>
      <c r="G47" s="35" t="s">
        <v>837</v>
      </c>
      <c r="H47" s="35" t="s">
        <v>837</v>
      </c>
    </row>
    <row r="48" spans="1:8" ht="12.75">
      <c r="A48" s="1" t="str">
        <f t="shared" si="1"/>
        <v>EN81.70</v>
      </c>
      <c r="B48" s="5">
        <v>38</v>
      </c>
      <c r="C48" s="35" t="s">
        <v>279</v>
      </c>
      <c r="D48" s="35" t="s">
        <v>279</v>
      </c>
      <c r="E48" s="38" t="s">
        <v>279</v>
      </c>
      <c r="F48" s="35" t="s">
        <v>279</v>
      </c>
      <c r="G48" s="35" t="s">
        <v>279</v>
      </c>
      <c r="H48" s="35" t="s">
        <v>279</v>
      </c>
    </row>
    <row r="49" spans="1:8" ht="12.75">
      <c r="A49" s="23" t="str">
        <f t="shared" si="1"/>
        <v>EN.81.73</v>
      </c>
      <c r="B49" s="24">
        <v>39</v>
      </c>
      <c r="C49" s="35" t="s">
        <v>838</v>
      </c>
      <c r="D49" s="35" t="s">
        <v>838</v>
      </c>
      <c r="E49" s="38" t="s">
        <v>838</v>
      </c>
      <c r="F49" s="35" t="s">
        <v>838</v>
      </c>
      <c r="G49" s="35" t="s">
        <v>838</v>
      </c>
      <c r="H49" s="35" t="s">
        <v>838</v>
      </c>
    </row>
    <row r="50" spans="1:8" ht="12.75">
      <c r="A50" s="1" t="str">
        <f t="shared" si="1"/>
        <v>Hydraulikdata</v>
      </c>
      <c r="B50" s="5">
        <v>40</v>
      </c>
      <c r="C50" s="45" t="s">
        <v>280</v>
      </c>
      <c r="D50" s="45" t="s">
        <v>281</v>
      </c>
      <c r="E50" s="47" t="s">
        <v>284</v>
      </c>
      <c r="F50" s="45" t="s">
        <v>282</v>
      </c>
      <c r="G50" s="45" t="s">
        <v>283</v>
      </c>
      <c r="H50" s="19" t="s">
        <v>304</v>
      </c>
    </row>
    <row r="51" spans="1:8" ht="12.75">
      <c r="A51" s="1" t="str">
        <f t="shared" si="1"/>
        <v>Lyft systemet</v>
      </c>
      <c r="B51" s="5">
        <v>41</v>
      </c>
      <c r="C51" s="42" t="s">
        <v>252</v>
      </c>
      <c r="D51" s="35" t="s">
        <v>261</v>
      </c>
      <c r="E51" s="60" t="s">
        <v>254</v>
      </c>
      <c r="F51" s="35" t="s">
        <v>253</v>
      </c>
      <c r="G51" s="43" t="s">
        <v>260</v>
      </c>
      <c r="H51" t="s">
        <v>259</v>
      </c>
    </row>
    <row r="52" spans="1:8" ht="12.75">
      <c r="A52" s="1" t="str">
        <f t="shared" si="1"/>
        <v>direkt (1:1)</v>
      </c>
      <c r="B52" s="5">
        <v>42</v>
      </c>
      <c r="C52" s="35" t="s">
        <v>262</v>
      </c>
      <c r="D52" s="35" t="s">
        <v>263</v>
      </c>
      <c r="E52" s="44" t="s">
        <v>269</v>
      </c>
      <c r="F52" s="35" t="s">
        <v>266</v>
      </c>
      <c r="G52" s="35" t="s">
        <v>263</v>
      </c>
      <c r="H52" s="29" t="s">
        <v>262</v>
      </c>
    </row>
    <row r="53" spans="1:8" ht="12.75">
      <c r="A53" s="1" t="str">
        <f t="shared" si="1"/>
        <v>linhydraul (2:1)</v>
      </c>
      <c r="B53" s="5">
        <v>43</v>
      </c>
      <c r="C53" s="35" t="s">
        <v>264</v>
      </c>
      <c r="D53" s="35" t="s">
        <v>265</v>
      </c>
      <c r="E53" s="44" t="s">
        <v>270</v>
      </c>
      <c r="F53" s="35" t="s">
        <v>267</v>
      </c>
      <c r="G53" s="35" t="s">
        <v>268</v>
      </c>
      <c r="H53" s="19" t="s">
        <v>264</v>
      </c>
    </row>
    <row r="54" spans="1:8" ht="12.75">
      <c r="A54" s="26" t="str">
        <f t="shared" si="1"/>
        <v>Hydroelite Veni</v>
      </c>
      <c r="B54" s="22">
        <v>45</v>
      </c>
      <c r="C54" s="35" t="s">
        <v>271</v>
      </c>
      <c r="D54" s="35" t="s">
        <v>271</v>
      </c>
      <c r="E54" s="38" t="s">
        <v>271</v>
      </c>
      <c r="F54" s="35" t="s">
        <v>271</v>
      </c>
      <c r="G54" s="35" t="s">
        <v>271</v>
      </c>
      <c r="H54" s="35" t="s">
        <v>271</v>
      </c>
    </row>
    <row r="55" spans="1:8" ht="12.75">
      <c r="A55" s="26" t="str">
        <f t="shared" si="1"/>
        <v>Hydroelite Vidi</v>
      </c>
      <c r="B55" s="22">
        <v>46</v>
      </c>
      <c r="C55" s="35" t="s">
        <v>272</v>
      </c>
      <c r="D55" s="35" t="s">
        <v>272</v>
      </c>
      <c r="E55" s="38" t="s">
        <v>272</v>
      </c>
      <c r="F55" s="35" t="s">
        <v>272</v>
      </c>
      <c r="G55" s="35" t="s">
        <v>272</v>
      </c>
      <c r="H55" s="35" t="s">
        <v>272</v>
      </c>
    </row>
    <row r="56" spans="1:8" ht="12.75">
      <c r="A56" s="26" t="str">
        <f t="shared" si="1"/>
        <v>Märklast:</v>
      </c>
      <c r="B56" s="22">
        <v>47</v>
      </c>
      <c r="C56" s="35" t="s">
        <v>285</v>
      </c>
      <c r="D56" s="42" t="s">
        <v>286</v>
      </c>
      <c r="E56" s="41" t="s">
        <v>733</v>
      </c>
      <c r="F56" s="42" t="s">
        <v>287</v>
      </c>
      <c r="G56" s="19" t="s">
        <v>288</v>
      </c>
      <c r="H56" s="19" t="s">
        <v>289</v>
      </c>
    </row>
    <row r="57" spans="1:8" ht="12.75">
      <c r="A57" s="26" t="str">
        <f t="shared" si="1"/>
        <v>Märkhastighet:</v>
      </c>
      <c r="B57" s="22">
        <v>48</v>
      </c>
      <c r="C57" s="35" t="s">
        <v>298</v>
      </c>
      <c r="D57" s="35" t="s">
        <v>299</v>
      </c>
      <c r="E57" s="41" t="s">
        <v>290</v>
      </c>
      <c r="F57" s="42" t="s">
        <v>300</v>
      </c>
      <c r="G57" s="42" t="s">
        <v>301</v>
      </c>
      <c r="H57" s="19" t="s">
        <v>302</v>
      </c>
    </row>
    <row r="58" spans="1:8" ht="12.75">
      <c r="A58" s="26" t="str">
        <f t="shared" si="1"/>
        <v>Spänning, matning:</v>
      </c>
      <c r="B58" s="22">
        <v>49</v>
      </c>
      <c r="C58" s="35" t="s">
        <v>306</v>
      </c>
      <c r="D58" s="35" t="s">
        <v>307</v>
      </c>
      <c r="E58" s="41" t="s">
        <v>311</v>
      </c>
      <c r="F58" s="35" t="s">
        <v>308</v>
      </c>
      <c r="G58" s="35" t="s">
        <v>309</v>
      </c>
      <c r="H58" s="19" t="s">
        <v>310</v>
      </c>
    </row>
    <row r="59" spans="1:8" ht="12.75">
      <c r="A59" s="26" t="str">
        <f t="shared" si="1"/>
        <v>Avstånd mellan schakt och MR</v>
      </c>
      <c r="B59" s="22">
        <v>50</v>
      </c>
      <c r="C59" s="19" t="s">
        <v>291</v>
      </c>
      <c r="D59" s="19" t="s">
        <v>295</v>
      </c>
      <c r="E59" s="41" t="s">
        <v>292</v>
      </c>
      <c r="F59" s="19" t="s">
        <v>296</v>
      </c>
      <c r="G59" s="19" t="s">
        <v>293</v>
      </c>
      <c r="H59" s="19" t="s">
        <v>294</v>
      </c>
    </row>
    <row r="60" spans="1:8" ht="12.75">
      <c r="A60" s="26" t="str">
        <f t="shared" si="1"/>
        <v>Maskinrumsplacering</v>
      </c>
      <c r="B60" s="22">
        <v>51</v>
      </c>
      <c r="C60" s="35" t="s">
        <v>312</v>
      </c>
      <c r="D60" s="35" t="s">
        <v>313</v>
      </c>
      <c r="E60" s="41" t="s">
        <v>370</v>
      </c>
      <c r="F60" s="35" t="s">
        <v>314</v>
      </c>
      <c r="G60" s="35" t="s">
        <v>315</v>
      </c>
      <c r="H60" s="17" t="s">
        <v>318</v>
      </c>
    </row>
    <row r="61" spans="1:8" ht="12.75">
      <c r="A61" s="26" t="str">
        <f t="shared" si="1"/>
        <v>Plan</v>
      </c>
      <c r="B61" s="22">
        <v>52</v>
      </c>
      <c r="C61" s="35" t="s">
        <v>316</v>
      </c>
      <c r="D61" s="35" t="s">
        <v>14</v>
      </c>
      <c r="E61" s="60" t="s">
        <v>320</v>
      </c>
      <c r="F61" s="35" t="s">
        <v>87</v>
      </c>
      <c r="G61" s="35" t="s">
        <v>317</v>
      </c>
      <c r="H61" s="17" t="s">
        <v>319</v>
      </c>
    </row>
    <row r="62" spans="1:8" ht="12.75">
      <c r="A62" s="26" t="str">
        <f t="shared" si="1"/>
        <v>TILLVAL</v>
      </c>
      <c r="B62" s="22">
        <v>53</v>
      </c>
      <c r="C62" s="19" t="s">
        <v>321</v>
      </c>
      <c r="D62" s="19" t="s">
        <v>322</v>
      </c>
      <c r="E62" s="41" t="s">
        <v>323</v>
      </c>
      <c r="F62" s="19" t="s">
        <v>324</v>
      </c>
      <c r="G62" s="19" t="s">
        <v>325</v>
      </c>
      <c r="H62" s="19" t="s">
        <v>321</v>
      </c>
    </row>
    <row r="63" spans="1:8" ht="12.75">
      <c r="A63" s="26" t="str">
        <f t="shared" si="1"/>
        <v>Tankvärmare inkl termostat</v>
      </c>
      <c r="B63" s="22">
        <v>54</v>
      </c>
      <c r="C63" s="35" t="s">
        <v>327</v>
      </c>
      <c r="D63" s="35" t="s">
        <v>328</v>
      </c>
      <c r="E63" s="47" t="s">
        <v>347</v>
      </c>
      <c r="F63" s="35" t="s">
        <v>337</v>
      </c>
      <c r="G63" s="35" t="s">
        <v>338</v>
      </c>
      <c r="H63" s="18" t="s">
        <v>716</v>
      </c>
    </row>
    <row r="64" spans="1:8" ht="12.75">
      <c r="A64" s="26" t="str">
        <f t="shared" si="1"/>
        <v>Elektrisk oljenivåvakt</v>
      </c>
      <c r="B64" s="22">
        <v>55</v>
      </c>
      <c r="C64" s="35" t="s">
        <v>329</v>
      </c>
      <c r="D64" s="35" t="s">
        <v>330</v>
      </c>
      <c r="E64" s="67" t="s">
        <v>348</v>
      </c>
      <c r="F64" s="35" t="s">
        <v>339</v>
      </c>
      <c r="G64" s="35" t="s">
        <v>340</v>
      </c>
      <c r="H64" s="18" t="s">
        <v>717</v>
      </c>
    </row>
    <row r="65" spans="1:8" ht="12.75">
      <c r="A65" s="26" t="str">
        <f t="shared" si="1"/>
        <v>Visuell oljenivågivare</v>
      </c>
      <c r="B65" s="22">
        <v>56</v>
      </c>
      <c r="C65" s="35" t="s">
        <v>331</v>
      </c>
      <c r="D65" s="35" t="s">
        <v>332</v>
      </c>
      <c r="E65" s="68" t="s">
        <v>349</v>
      </c>
      <c r="F65" s="35" t="s">
        <v>341</v>
      </c>
      <c r="G65" s="35" t="s">
        <v>342</v>
      </c>
      <c r="H65" s="18" t="s">
        <v>718</v>
      </c>
    </row>
    <row r="66" spans="1:8" ht="12.75">
      <c r="A66" s="26" t="str">
        <f t="shared" si="1"/>
        <v>Anslutning oljekylare</v>
      </c>
      <c r="B66" s="22">
        <v>57</v>
      </c>
      <c r="C66" s="35" t="s">
        <v>333</v>
      </c>
      <c r="D66" s="35" t="s">
        <v>334</v>
      </c>
      <c r="E66" s="69" t="s">
        <v>350</v>
      </c>
      <c r="F66" s="35" t="s">
        <v>343</v>
      </c>
      <c r="G66" s="35" t="s">
        <v>344</v>
      </c>
      <c r="H66" s="18" t="s">
        <v>719</v>
      </c>
    </row>
    <row r="67" spans="1:8" ht="12.75">
      <c r="A67" s="26" t="str">
        <f t="shared" si="1"/>
        <v>Termostat för oljekylare</v>
      </c>
      <c r="B67" s="22">
        <v>58</v>
      </c>
      <c r="C67" s="35" t="s">
        <v>335</v>
      </c>
      <c r="D67" s="35" t="s">
        <v>336</v>
      </c>
      <c r="E67" s="69" t="s">
        <v>351</v>
      </c>
      <c r="F67" s="35" t="s">
        <v>345</v>
      </c>
      <c r="G67" s="35" t="s">
        <v>346</v>
      </c>
      <c r="H67" s="18" t="s">
        <v>720</v>
      </c>
    </row>
    <row r="68" spans="1:8" ht="12.75">
      <c r="A68" s="26" t="str">
        <f t="shared" si="1"/>
        <v>Hydraulolja:</v>
      </c>
      <c r="B68" s="22">
        <v>59</v>
      </c>
      <c r="C68" s="48" t="s">
        <v>352</v>
      </c>
      <c r="D68" s="48" t="s">
        <v>353</v>
      </c>
      <c r="E68" s="47" t="s">
        <v>359</v>
      </c>
      <c r="F68" s="48" t="s">
        <v>356</v>
      </c>
      <c r="G68" s="35" t="s">
        <v>357</v>
      </c>
      <c r="H68" s="18" t="s">
        <v>721</v>
      </c>
    </row>
    <row r="69" spans="1:8" ht="12.75">
      <c r="A69" s="26" t="str">
        <f t="shared" si="1"/>
        <v>st, 20 l dunk</v>
      </c>
      <c r="B69" s="22">
        <v>60</v>
      </c>
      <c r="C69" s="48" t="s">
        <v>354</v>
      </c>
      <c r="D69" s="49" t="s">
        <v>355</v>
      </c>
      <c r="E69" s="70" t="s">
        <v>360</v>
      </c>
      <c r="F69" s="48" t="s">
        <v>381</v>
      </c>
      <c r="G69" s="35" t="s">
        <v>358</v>
      </c>
      <c r="H69" s="18" t="s">
        <v>722</v>
      </c>
    </row>
    <row r="70" spans="1:8" ht="12.75">
      <c r="A70" s="26" t="str">
        <f t="shared" si="1"/>
        <v>Larmtelefon Safeline SL6 PSTN</v>
      </c>
      <c r="B70" s="22">
        <v>61</v>
      </c>
      <c r="C70" s="50" t="s">
        <v>379</v>
      </c>
      <c r="D70" s="51" t="s">
        <v>371</v>
      </c>
      <c r="E70" s="47" t="s">
        <v>691</v>
      </c>
      <c r="F70" s="51" t="s">
        <v>371</v>
      </c>
      <c r="G70" s="50" t="s">
        <v>374</v>
      </c>
      <c r="H70" s="18" t="s">
        <v>723</v>
      </c>
    </row>
    <row r="71" spans="1:8" ht="12.75">
      <c r="A71" s="26" t="str">
        <f t="shared" si="1"/>
        <v>Larmtelefon Safeline SL6 GSM</v>
      </c>
      <c r="B71" s="22">
        <v>62</v>
      </c>
      <c r="C71" s="51" t="s">
        <v>380</v>
      </c>
      <c r="D71" s="51" t="s">
        <v>377</v>
      </c>
      <c r="E71" s="47" t="s">
        <v>692</v>
      </c>
      <c r="F71" s="51" t="s">
        <v>372</v>
      </c>
      <c r="G71" s="51" t="s">
        <v>375</v>
      </c>
      <c r="H71" s="18" t="s">
        <v>724</v>
      </c>
    </row>
    <row r="72" spans="1:8" ht="12.75">
      <c r="A72" s="26" t="str">
        <f t="shared" si="1"/>
        <v>Safeline intercom</v>
      </c>
      <c r="B72" s="1">
        <v>63</v>
      </c>
      <c r="C72" s="51" t="s">
        <v>378</v>
      </c>
      <c r="D72" s="51" t="s">
        <v>378</v>
      </c>
      <c r="E72" s="41" t="s">
        <v>693</v>
      </c>
      <c r="F72" s="51" t="s">
        <v>373</v>
      </c>
      <c r="G72" s="51" t="s">
        <v>376</v>
      </c>
      <c r="H72" s="18" t="s">
        <v>725</v>
      </c>
    </row>
    <row r="73" spans="1:8" ht="12.75">
      <c r="A73" s="1" t="str">
        <f aca="true" t="shared" si="2" ref="A73:A112">VLOOKUP(B73,B73:H73,$A$2,TRUE)</f>
        <v>Halogenfritt kablage</v>
      </c>
      <c r="B73" s="5">
        <v>64</v>
      </c>
      <c r="C73" s="46" t="s">
        <v>361</v>
      </c>
      <c r="D73" s="46" t="s">
        <v>362</v>
      </c>
      <c r="E73" s="47" t="s">
        <v>363</v>
      </c>
      <c r="F73" s="46" t="s">
        <v>364</v>
      </c>
      <c r="G73" s="46" t="s">
        <v>365</v>
      </c>
      <c r="H73" s="18" t="s">
        <v>726</v>
      </c>
    </row>
    <row r="74" spans="1:8" ht="12.75">
      <c r="A74" s="1" t="str">
        <f t="shared" si="2"/>
        <v> Separat elskåp</v>
      </c>
      <c r="B74" s="5">
        <v>65</v>
      </c>
      <c r="C74" s="22" t="s">
        <v>368</v>
      </c>
      <c r="D74" s="22" t="s">
        <v>366</v>
      </c>
      <c r="E74" s="41" t="s">
        <v>694</v>
      </c>
      <c r="F74" s="40" t="s">
        <v>369</v>
      </c>
      <c r="G74" s="25" t="s">
        <v>367</v>
      </c>
      <c r="H74" s="18" t="s">
        <v>727</v>
      </c>
    </row>
    <row r="75" spans="1:8" ht="12.75">
      <c r="A75" s="1" t="str">
        <f t="shared" si="2"/>
        <v>ELSTYRNING</v>
      </c>
      <c r="B75" s="5">
        <v>66</v>
      </c>
      <c r="C75" s="37" t="s">
        <v>382</v>
      </c>
      <c r="D75" s="37" t="s">
        <v>383</v>
      </c>
      <c r="E75" s="52" t="s">
        <v>770</v>
      </c>
      <c r="F75" s="37" t="s">
        <v>698</v>
      </c>
      <c r="G75" s="37" t="s">
        <v>384</v>
      </c>
      <c r="H75" s="37" t="s">
        <v>697</v>
      </c>
    </row>
    <row r="76" spans="1:8" ht="12.75">
      <c r="A76" s="1" t="str">
        <f t="shared" si="2"/>
        <v>Styrsystem</v>
      </c>
      <c r="B76" s="5">
        <v>67</v>
      </c>
      <c r="C76" s="19" t="s">
        <v>699</v>
      </c>
      <c r="D76" s="19" t="s">
        <v>64</v>
      </c>
      <c r="E76" s="41" t="s">
        <v>702</v>
      </c>
      <c r="F76" s="19" t="s">
        <v>385</v>
      </c>
      <c r="G76" s="19" t="s">
        <v>703</v>
      </c>
      <c r="H76" s="19" t="s">
        <v>704</v>
      </c>
    </row>
    <row r="77" spans="1:8" ht="12.75">
      <c r="A77" s="1" t="str">
        <f t="shared" si="2"/>
        <v>Direkt UPB </v>
      </c>
      <c r="B77" s="5">
        <v>68</v>
      </c>
      <c r="C77" s="19" t="s">
        <v>386</v>
      </c>
      <c r="D77" s="19" t="s">
        <v>700</v>
      </c>
      <c r="E77" s="41" t="s">
        <v>701</v>
      </c>
      <c r="F77" s="19" t="s">
        <v>705</v>
      </c>
      <c r="G77" s="19" t="s">
        <v>706</v>
      </c>
      <c r="H77" s="19" t="s">
        <v>707</v>
      </c>
    </row>
    <row r="78" spans="1:8" ht="12.75">
      <c r="A78" s="1" t="str">
        <f t="shared" si="2"/>
        <v>Nedkollektiv</v>
      </c>
      <c r="B78" s="5">
        <v>69</v>
      </c>
      <c r="C78" s="19" t="s">
        <v>709</v>
      </c>
      <c r="D78" s="19" t="s">
        <v>387</v>
      </c>
      <c r="E78" s="41" t="s">
        <v>708</v>
      </c>
      <c r="F78" s="19" t="s">
        <v>388</v>
      </c>
      <c r="G78" s="19" t="s">
        <v>389</v>
      </c>
      <c r="H78" s="19" t="s">
        <v>390</v>
      </c>
    </row>
    <row r="79" spans="1:8" ht="12.75">
      <c r="A79" s="1" t="str">
        <f t="shared" si="2"/>
        <v>Fullkollektiv</v>
      </c>
      <c r="B79" s="5">
        <v>70</v>
      </c>
      <c r="C79" s="19" t="s">
        <v>391</v>
      </c>
      <c r="D79" s="19" t="s">
        <v>392</v>
      </c>
      <c r="E79" s="41" t="s">
        <v>710</v>
      </c>
      <c r="F79" s="19" t="s">
        <v>393</v>
      </c>
      <c r="G79" s="19" t="s">
        <v>394</v>
      </c>
      <c r="H79" s="19" t="s">
        <v>395</v>
      </c>
    </row>
    <row r="80" spans="1:8" ht="12.75">
      <c r="A80" s="1" t="str">
        <f t="shared" si="2"/>
        <v>Indikering- Huvudplan</v>
      </c>
      <c r="B80" s="5">
        <v>71</v>
      </c>
      <c r="C80" s="19" t="s">
        <v>396</v>
      </c>
      <c r="D80" s="19" t="s">
        <v>397</v>
      </c>
      <c r="E80" s="41" t="s">
        <v>711</v>
      </c>
      <c r="F80" s="19" t="s">
        <v>398</v>
      </c>
      <c r="G80" s="34" t="s">
        <v>399</v>
      </c>
      <c r="H80" s="19" t="s">
        <v>400</v>
      </c>
    </row>
    <row r="81" spans="1:8" ht="12.75">
      <c r="A81" s="1" t="str">
        <f t="shared" si="2"/>
        <v>Indikering- Övriga plan</v>
      </c>
      <c r="B81" s="5">
        <v>72</v>
      </c>
      <c r="C81" s="19" t="s">
        <v>401</v>
      </c>
      <c r="D81" s="19" t="s">
        <v>402</v>
      </c>
      <c r="E81" s="41" t="s">
        <v>712</v>
      </c>
      <c r="F81" s="19" t="s">
        <v>403</v>
      </c>
      <c r="G81" s="34" t="s">
        <v>404</v>
      </c>
      <c r="H81" s="19" t="s">
        <v>405</v>
      </c>
    </row>
    <row r="82" spans="1:8" ht="12.75">
      <c r="A82" s="1" t="str">
        <f t="shared" si="2"/>
        <v>Pilar (std)</v>
      </c>
      <c r="B82" s="5">
        <v>73</v>
      </c>
      <c r="C82" s="19" t="s">
        <v>406</v>
      </c>
      <c r="D82" s="19" t="s">
        <v>407</v>
      </c>
      <c r="E82" s="41" t="s">
        <v>408</v>
      </c>
      <c r="F82" s="19" t="s">
        <v>409</v>
      </c>
      <c r="G82" s="34" t="s">
        <v>410</v>
      </c>
      <c r="H82" s="19" t="s">
        <v>411</v>
      </c>
    </row>
    <row r="83" spans="1:8" ht="12.75">
      <c r="A83" s="1" t="str">
        <f t="shared" si="2"/>
        <v>Våningsvisare</v>
      </c>
      <c r="B83" s="5">
        <v>74</v>
      </c>
      <c r="C83" s="19" t="s">
        <v>412</v>
      </c>
      <c r="D83" s="19" t="s">
        <v>413</v>
      </c>
      <c r="E83" s="41" t="s">
        <v>713</v>
      </c>
      <c r="F83" s="19" t="s">
        <v>412</v>
      </c>
      <c r="G83" s="34" t="s">
        <v>412</v>
      </c>
      <c r="H83" s="19" t="s">
        <v>412</v>
      </c>
    </row>
    <row r="84" spans="1:8" ht="12.75">
      <c r="A84" s="1" t="str">
        <f t="shared" si="2"/>
        <v>Pilar+Våningsvisare</v>
      </c>
      <c r="B84" s="5">
        <v>75</v>
      </c>
      <c r="C84" s="19" t="s">
        <v>414</v>
      </c>
      <c r="D84" s="19" t="s">
        <v>415</v>
      </c>
      <c r="E84" s="41" t="s">
        <v>714</v>
      </c>
      <c r="F84" s="19" t="s">
        <v>416</v>
      </c>
      <c r="G84" s="34" t="s">
        <v>417</v>
      </c>
      <c r="H84" s="19" t="s">
        <v>418</v>
      </c>
    </row>
    <row r="85" spans="1:8" ht="12.75">
      <c r="A85" s="1" t="str">
        <f t="shared" si="2"/>
        <v>Stängningsknapp</v>
      </c>
      <c r="B85" s="5">
        <v>76</v>
      </c>
      <c r="C85" s="19" t="s">
        <v>419</v>
      </c>
      <c r="D85" s="19" t="s">
        <v>420</v>
      </c>
      <c r="E85" s="41" t="s">
        <v>421</v>
      </c>
      <c r="F85" s="19" t="s">
        <v>422</v>
      </c>
      <c r="G85" s="19" t="s">
        <v>423</v>
      </c>
      <c r="H85" s="19" t="s">
        <v>424</v>
      </c>
    </row>
    <row r="86" spans="1:8" ht="12.75">
      <c r="A86" s="1" t="str">
        <f t="shared" si="2"/>
        <v>Extra korgtablå (Bilhiss)</v>
      </c>
      <c r="B86" s="5">
        <v>77</v>
      </c>
      <c r="C86" s="19" t="s">
        <v>765</v>
      </c>
      <c r="D86" s="19" t="s">
        <v>764</v>
      </c>
      <c r="E86" s="41" t="s">
        <v>761</v>
      </c>
      <c r="F86" s="19" t="s">
        <v>768</v>
      </c>
      <c r="G86" s="19" t="s">
        <v>763</v>
      </c>
      <c r="H86" s="19" t="s">
        <v>762</v>
      </c>
    </row>
    <row r="87" spans="1:8" ht="12.75">
      <c r="A87" s="1" t="str">
        <f t="shared" si="2"/>
        <v>Timer (korgbelysning)</v>
      </c>
      <c r="B87" s="5">
        <v>78</v>
      </c>
      <c r="C87" s="19" t="s">
        <v>425</v>
      </c>
      <c r="D87" s="19" t="s">
        <v>426</v>
      </c>
      <c r="E87" s="41" t="s">
        <v>715</v>
      </c>
      <c r="F87" s="19" t="s">
        <v>427</v>
      </c>
      <c r="G87" s="19" t="s">
        <v>428</v>
      </c>
      <c r="H87" s="19" t="s">
        <v>429</v>
      </c>
    </row>
    <row r="88" spans="1:8" ht="12.75">
      <c r="A88" s="1" t="str">
        <f t="shared" si="2"/>
        <v>Trafikljus i korg  röd/grön (Bilhiss)</v>
      </c>
      <c r="B88" s="5">
        <v>79</v>
      </c>
      <c r="C88" s="19" t="s">
        <v>766</v>
      </c>
      <c r="D88" s="19" t="s">
        <v>833</v>
      </c>
      <c r="E88" s="41" t="s">
        <v>767</v>
      </c>
      <c r="F88" s="19" t="s">
        <v>834</v>
      </c>
      <c r="G88" s="19" t="s">
        <v>835</v>
      </c>
      <c r="H88" s="19" t="s">
        <v>836</v>
      </c>
    </row>
    <row r="89" spans="1:8" ht="12.75">
      <c r="A89" s="1" t="str">
        <f t="shared" si="2"/>
        <v>Städnyckel</v>
      </c>
      <c r="B89" s="1">
        <v>80</v>
      </c>
      <c r="C89" s="19" t="s">
        <v>430</v>
      </c>
      <c r="D89" s="34" t="s">
        <v>431</v>
      </c>
      <c r="E89" s="41" t="s">
        <v>754</v>
      </c>
      <c r="F89" s="19" t="s">
        <v>755</v>
      </c>
      <c r="G89" s="19" t="s">
        <v>432</v>
      </c>
      <c r="H89" s="19" t="s">
        <v>433</v>
      </c>
    </row>
    <row r="90" spans="1:8" ht="12.75">
      <c r="A90" s="1" t="str">
        <f t="shared" si="2"/>
        <v>Prioritetsanrop (sjukhus)</v>
      </c>
      <c r="B90" s="5">
        <v>81</v>
      </c>
      <c r="C90" s="19" t="s">
        <v>434</v>
      </c>
      <c r="D90" s="19" t="s">
        <v>435</v>
      </c>
      <c r="E90" s="41" t="s">
        <v>756</v>
      </c>
      <c r="F90" s="19" t="s">
        <v>757</v>
      </c>
      <c r="G90" s="19" t="s">
        <v>436</v>
      </c>
      <c r="H90" s="19" t="s">
        <v>437</v>
      </c>
    </row>
    <row r="91" spans="1:8" ht="12.75">
      <c r="A91" s="1" t="str">
        <f t="shared" si="2"/>
        <v>AUTOMAT DÖRRAR</v>
      </c>
      <c r="B91" s="5">
        <v>82</v>
      </c>
      <c r="C91" s="37" t="s">
        <v>438</v>
      </c>
      <c r="D91" s="37" t="s">
        <v>439</v>
      </c>
      <c r="E91" s="52" t="s">
        <v>440</v>
      </c>
      <c r="F91" s="37" t="s">
        <v>441</v>
      </c>
      <c r="G91" s="37" t="s">
        <v>442</v>
      </c>
      <c r="H91" s="37" t="s">
        <v>443</v>
      </c>
    </row>
    <row r="92" spans="1:8" ht="12.75">
      <c r="A92" s="1" t="str">
        <f t="shared" si="2"/>
        <v>Typ av dörr</v>
      </c>
      <c r="B92" s="5">
        <v>83</v>
      </c>
      <c r="C92" s="37" t="s">
        <v>445</v>
      </c>
      <c r="D92" s="37" t="s">
        <v>446</v>
      </c>
      <c r="E92" s="41" t="s">
        <v>447</v>
      </c>
      <c r="F92" s="37" t="s">
        <v>448</v>
      </c>
      <c r="G92" s="37" t="s">
        <v>79</v>
      </c>
      <c r="H92" s="37" t="s">
        <v>80</v>
      </c>
    </row>
    <row r="93" spans="1:8" ht="12.75">
      <c r="A93" s="1" t="str">
        <f t="shared" si="2"/>
        <v>Dörr bredd </v>
      </c>
      <c r="B93" s="5">
        <v>84</v>
      </c>
      <c r="C93" s="19" t="s">
        <v>449</v>
      </c>
      <c r="D93" s="19" t="s">
        <v>450</v>
      </c>
      <c r="E93" s="41" t="s">
        <v>451</v>
      </c>
      <c r="F93" s="19" t="s">
        <v>452</v>
      </c>
      <c r="G93" s="19" t="s">
        <v>453</v>
      </c>
      <c r="H93" s="19" t="s">
        <v>454</v>
      </c>
    </row>
    <row r="94" spans="1:8" ht="12.75">
      <c r="A94" s="1" t="str">
        <f t="shared" si="2"/>
        <v>Dörrhöjd </v>
      </c>
      <c r="B94" s="5">
        <v>85</v>
      </c>
      <c r="C94" s="19" t="s">
        <v>455</v>
      </c>
      <c r="D94" s="19" t="s">
        <v>456</v>
      </c>
      <c r="E94" s="41" t="s">
        <v>457</v>
      </c>
      <c r="F94" s="19" t="s">
        <v>458</v>
      </c>
      <c r="G94" s="19" t="s">
        <v>459</v>
      </c>
      <c r="H94" s="19" t="s">
        <v>460</v>
      </c>
    </row>
    <row r="95" spans="1:8" ht="12.75">
      <c r="A95" s="1" t="str">
        <f t="shared" si="2"/>
        <v>Annan(kod):</v>
      </c>
      <c r="B95" s="5">
        <v>86</v>
      </c>
      <c r="C95" s="19" t="s">
        <v>461</v>
      </c>
      <c r="D95" s="19" t="s">
        <v>462</v>
      </c>
      <c r="E95" s="41" t="s">
        <v>695</v>
      </c>
      <c r="F95" s="19" t="s">
        <v>463</v>
      </c>
      <c r="G95" s="34" t="s">
        <v>464</v>
      </c>
      <c r="H95" s="19" t="s">
        <v>465</v>
      </c>
    </row>
    <row r="96" spans="1:8" ht="12.75">
      <c r="A96" s="1" t="str">
        <f t="shared" si="2"/>
        <v>Korgdörr/-ar</v>
      </c>
      <c r="B96" s="5">
        <v>87</v>
      </c>
      <c r="C96" s="37" t="s">
        <v>468</v>
      </c>
      <c r="D96" s="37" t="s">
        <v>469</v>
      </c>
      <c r="E96" s="52" t="s">
        <v>470</v>
      </c>
      <c r="F96" s="37" t="s">
        <v>471</v>
      </c>
      <c r="G96" s="37" t="s">
        <v>472</v>
      </c>
      <c r="H96" s="37" t="s">
        <v>473</v>
      </c>
    </row>
    <row r="97" spans="1:8" ht="12.75">
      <c r="A97" s="1" t="str">
        <f t="shared" si="2"/>
        <v>Välj dörrfabrikat</v>
      </c>
      <c r="B97" s="5">
        <v>88</v>
      </c>
      <c r="C97" s="19" t="s">
        <v>515</v>
      </c>
      <c r="D97" s="19" t="s">
        <v>516</v>
      </c>
      <c r="E97" s="41" t="s">
        <v>517</v>
      </c>
      <c r="F97" s="19" t="s">
        <v>518</v>
      </c>
      <c r="G97" s="19" t="s">
        <v>519</v>
      </c>
      <c r="H97" s="19" t="s">
        <v>520</v>
      </c>
    </row>
    <row r="98" spans="1:8" ht="12.75">
      <c r="A98" s="1" t="str">
        <f t="shared" si="2"/>
        <v>RAL </v>
      </c>
      <c r="B98" s="5">
        <v>150</v>
      </c>
      <c r="C98" s="182" t="s">
        <v>786</v>
      </c>
      <c r="D98" s="5" t="s">
        <v>786</v>
      </c>
      <c r="E98" s="184" t="s">
        <v>786</v>
      </c>
      <c r="F98" s="19" t="s">
        <v>786</v>
      </c>
      <c r="G98" s="19" t="s">
        <v>786</v>
      </c>
      <c r="H98" s="19" t="s">
        <v>786</v>
      </c>
    </row>
    <row r="99" spans="1:8" ht="12.75">
      <c r="A99" s="1" t="str">
        <f t="shared" si="2"/>
        <v>Korgdörr finish</v>
      </c>
      <c r="B99" s="5">
        <v>89</v>
      </c>
      <c r="C99" s="19" t="s">
        <v>505</v>
      </c>
      <c r="D99" s="19" t="s">
        <v>506</v>
      </c>
      <c r="E99" s="41" t="s">
        <v>790</v>
      </c>
      <c r="F99" s="19" t="s">
        <v>507</v>
      </c>
      <c r="G99" s="19" t="s">
        <v>508</v>
      </c>
      <c r="H99" s="37" t="s">
        <v>509</v>
      </c>
    </row>
    <row r="100" spans="1:8" ht="12.75">
      <c r="A100" s="1" t="str">
        <f t="shared" si="2"/>
        <v>Färg/ KOD:</v>
      </c>
      <c r="B100" s="5">
        <v>90</v>
      </c>
      <c r="C100" s="34" t="s">
        <v>563</v>
      </c>
      <c r="D100" s="19" t="s">
        <v>564</v>
      </c>
      <c r="E100" s="41" t="s">
        <v>696</v>
      </c>
      <c r="F100" s="19" t="s">
        <v>565</v>
      </c>
      <c r="G100" s="34" t="s">
        <v>566</v>
      </c>
      <c r="H100" s="19" t="s">
        <v>567</v>
      </c>
    </row>
    <row r="101" spans="1:8" ht="12.75">
      <c r="A101" s="1" t="str">
        <f t="shared" si="2"/>
        <v>Fotocell</v>
      </c>
      <c r="B101" s="5">
        <v>91</v>
      </c>
      <c r="C101" s="19" t="s">
        <v>510</v>
      </c>
      <c r="D101" s="19" t="s">
        <v>511</v>
      </c>
      <c r="E101" s="41" t="s">
        <v>795</v>
      </c>
      <c r="F101" s="19" t="s">
        <v>512</v>
      </c>
      <c r="G101" s="19" t="s">
        <v>513</v>
      </c>
      <c r="H101" s="19" t="s">
        <v>514</v>
      </c>
    </row>
    <row r="102" spans="1:8" ht="12.75">
      <c r="A102" s="1" t="str">
        <f t="shared" si="2"/>
        <v>Standard</v>
      </c>
      <c r="B102" s="5">
        <v>92</v>
      </c>
      <c r="C102" s="19" t="s">
        <v>568</v>
      </c>
      <c r="D102" s="19" t="s">
        <v>568</v>
      </c>
      <c r="E102" s="41" t="s">
        <v>775</v>
      </c>
      <c r="F102" s="19" t="str">
        <f>C102</f>
        <v>Standard</v>
      </c>
      <c r="G102" s="34" t="s">
        <v>568</v>
      </c>
      <c r="H102" s="34" t="s">
        <v>568</v>
      </c>
    </row>
    <row r="103" spans="1:8" ht="12.75">
      <c r="A103" s="1" t="str">
        <f t="shared" si="2"/>
        <v>Ljusridå</v>
      </c>
      <c r="B103" s="5">
        <v>93</v>
      </c>
      <c r="C103" s="19" t="s">
        <v>589</v>
      </c>
      <c r="D103" s="19" t="s">
        <v>569</v>
      </c>
      <c r="E103" s="41" t="s">
        <v>570</v>
      </c>
      <c r="F103" s="19" t="s">
        <v>571</v>
      </c>
      <c r="G103" s="19" t="s">
        <v>572</v>
      </c>
      <c r="H103" s="19" t="s">
        <v>573</v>
      </c>
    </row>
    <row r="104" spans="1:8" ht="12.75">
      <c r="A104" s="1" t="str">
        <f t="shared" si="2"/>
        <v>Schaktdörrar</v>
      </c>
      <c r="B104" s="5">
        <v>94</v>
      </c>
      <c r="C104" s="37" t="s">
        <v>474</v>
      </c>
      <c r="D104" s="37" t="s">
        <v>475</v>
      </c>
      <c r="E104" s="52" t="s">
        <v>476</v>
      </c>
      <c r="F104" s="37" t="s">
        <v>477</v>
      </c>
      <c r="G104" s="37" t="s">
        <v>478</v>
      </c>
      <c r="H104" s="37" t="s">
        <v>479</v>
      </c>
    </row>
    <row r="105" spans="1:8" ht="12.75">
      <c r="A105" s="1" t="str">
        <f t="shared" si="2"/>
        <v>Schaktdörr- Fabrikat </v>
      </c>
      <c r="B105" s="5">
        <v>95</v>
      </c>
      <c r="C105" s="19" t="s">
        <v>480</v>
      </c>
      <c r="D105" s="19" t="s">
        <v>481</v>
      </c>
      <c r="E105" s="41" t="s">
        <v>482</v>
      </c>
      <c r="F105" s="19" t="s">
        <v>483</v>
      </c>
      <c r="G105" s="19" t="s">
        <v>484</v>
      </c>
      <c r="H105" s="19" t="s">
        <v>485</v>
      </c>
    </row>
    <row r="106" spans="1:8" ht="12.75">
      <c r="A106" s="1" t="str">
        <f t="shared" si="2"/>
        <v>Schaktdörr- Typ</v>
      </c>
      <c r="B106" s="5">
        <v>96</v>
      </c>
      <c r="C106" s="19" t="s">
        <v>486</v>
      </c>
      <c r="D106" s="19" t="s">
        <v>487</v>
      </c>
      <c r="E106" s="41" t="s">
        <v>488</v>
      </c>
      <c r="F106" s="19" t="s">
        <v>489</v>
      </c>
      <c r="G106" s="19" t="s">
        <v>490</v>
      </c>
      <c r="H106" s="19" t="s">
        <v>491</v>
      </c>
    </row>
    <row r="107" spans="1:8" ht="12.75">
      <c r="A107" s="1" t="str">
        <f t="shared" si="2"/>
        <v>Karm (standard)</v>
      </c>
      <c r="B107" s="5">
        <v>97</v>
      </c>
      <c r="C107" s="19" t="s">
        <v>574</v>
      </c>
      <c r="D107" s="19" t="s">
        <v>575</v>
      </c>
      <c r="E107" s="41" t="s">
        <v>776</v>
      </c>
      <c r="F107" s="19" t="s">
        <v>576</v>
      </c>
      <c r="G107" s="19" t="s">
        <v>577</v>
      </c>
      <c r="H107" s="19" t="s">
        <v>578</v>
      </c>
    </row>
    <row r="108" spans="1:8" ht="15">
      <c r="A108" s="1" t="str">
        <f t="shared" si="2"/>
        <v>Front, Std.</v>
      </c>
      <c r="B108" s="5">
        <v>98</v>
      </c>
      <c r="C108" s="19" t="s">
        <v>579</v>
      </c>
      <c r="D108" s="19" t="s">
        <v>580</v>
      </c>
      <c r="E108" s="79" t="s">
        <v>797</v>
      </c>
      <c r="F108" s="19" t="s">
        <v>581</v>
      </c>
      <c r="G108" s="19" t="s">
        <v>582</v>
      </c>
      <c r="H108" s="19" t="s">
        <v>583</v>
      </c>
    </row>
    <row r="109" spans="1:8" ht="12.75">
      <c r="A109" s="1" t="str">
        <f t="shared" si="2"/>
        <v>FullFront, B x H</v>
      </c>
      <c r="B109" s="5">
        <v>99</v>
      </c>
      <c r="C109" s="19" t="s">
        <v>584</v>
      </c>
      <c r="D109" s="19" t="s">
        <v>585</v>
      </c>
      <c r="E109" s="41" t="s">
        <v>731</v>
      </c>
      <c r="F109" s="19" t="s">
        <v>586</v>
      </c>
      <c r="G109" s="19" t="s">
        <v>587</v>
      </c>
      <c r="H109" s="19" t="s">
        <v>588</v>
      </c>
    </row>
    <row r="110" spans="1:8" ht="12.75">
      <c r="A110" s="1" t="str">
        <f t="shared" si="2"/>
        <v>Schaktdörr finish</v>
      </c>
      <c r="B110" s="5">
        <v>100</v>
      </c>
      <c r="C110" s="19" t="s">
        <v>492</v>
      </c>
      <c r="D110" s="19" t="s">
        <v>493</v>
      </c>
      <c r="E110" s="41" t="s">
        <v>791</v>
      </c>
      <c r="F110" s="19" t="s">
        <v>494</v>
      </c>
      <c r="G110" s="19" t="s">
        <v>495</v>
      </c>
      <c r="H110" s="19" t="s">
        <v>496</v>
      </c>
    </row>
    <row r="111" spans="1:8" ht="15">
      <c r="A111" s="1" t="str">
        <f t="shared" si="2"/>
        <v>Brandklassning</v>
      </c>
      <c r="B111" s="5">
        <v>101</v>
      </c>
      <c r="C111" s="19" t="s">
        <v>497</v>
      </c>
      <c r="D111" s="19" t="s">
        <v>498</v>
      </c>
      <c r="E111" s="78" t="s">
        <v>792</v>
      </c>
      <c r="F111" s="19" t="s">
        <v>499</v>
      </c>
      <c r="G111" s="19" t="s">
        <v>500</v>
      </c>
      <c r="H111" s="19" t="s">
        <v>501</v>
      </c>
    </row>
    <row r="112" spans="1:8" ht="12.75">
      <c r="A112" s="1" t="str">
        <f t="shared" si="2"/>
        <v>JA</v>
      </c>
      <c r="B112" s="5">
        <v>102</v>
      </c>
      <c r="C112" s="19" t="s">
        <v>594</v>
      </c>
      <c r="D112" s="19" t="s">
        <v>595</v>
      </c>
      <c r="E112" s="41" t="s">
        <v>729</v>
      </c>
      <c r="F112" s="19" t="s">
        <v>596</v>
      </c>
      <c r="G112" s="19" t="s">
        <v>595</v>
      </c>
      <c r="H112" s="19" t="s">
        <v>597</v>
      </c>
    </row>
    <row r="113" spans="1:8" ht="12.75">
      <c r="A113" s="1" t="str">
        <f aca="true" t="shared" si="3" ref="A113:A155">VLOOKUP(B113,B113:H113,$A$2,TRUE)</f>
        <v>NEJ</v>
      </c>
      <c r="B113" s="5">
        <v>103</v>
      </c>
      <c r="C113" s="19" t="s">
        <v>598</v>
      </c>
      <c r="D113" s="19" t="s">
        <v>599</v>
      </c>
      <c r="E113" s="41" t="s">
        <v>730</v>
      </c>
      <c r="F113" s="19" t="s">
        <v>598</v>
      </c>
      <c r="G113" s="19" t="s">
        <v>600</v>
      </c>
      <c r="H113" s="19" t="s">
        <v>601</v>
      </c>
    </row>
    <row r="114" spans="1:8" ht="12.75">
      <c r="A114" s="1" t="str">
        <f t="shared" si="3"/>
        <v>Täcklister</v>
      </c>
      <c r="B114" s="5">
        <v>104</v>
      </c>
      <c r="C114" s="19" t="s">
        <v>502</v>
      </c>
      <c r="D114" s="19" t="s">
        <v>503</v>
      </c>
      <c r="E114" s="71" t="s">
        <v>752</v>
      </c>
      <c r="F114" s="19" t="s">
        <v>502</v>
      </c>
      <c r="G114" s="19" t="s">
        <v>502</v>
      </c>
      <c r="H114" s="19" t="s">
        <v>504</v>
      </c>
    </row>
    <row r="115" spans="1:8" ht="12.75" customHeight="1">
      <c r="A115" s="1" t="str">
        <f t="shared" si="3"/>
        <v>KORG</v>
      </c>
      <c r="B115" s="5">
        <v>105</v>
      </c>
      <c r="C115" s="19" t="s">
        <v>521</v>
      </c>
      <c r="D115" s="19" t="s">
        <v>522</v>
      </c>
      <c r="E115" s="41" t="s">
        <v>523</v>
      </c>
      <c r="F115" s="19" t="s">
        <v>524</v>
      </c>
      <c r="G115" s="19" t="s">
        <v>525</v>
      </c>
      <c r="H115" s="19" t="s">
        <v>526</v>
      </c>
    </row>
    <row r="116" spans="1:8" ht="12.75" customHeight="1">
      <c r="A116" s="1" t="str">
        <f t="shared" si="3"/>
        <v>Korgstorlek</v>
      </c>
      <c r="B116" s="5">
        <v>103</v>
      </c>
      <c r="C116" s="19" t="s">
        <v>527</v>
      </c>
      <c r="D116" s="19" t="s">
        <v>528</v>
      </c>
      <c r="E116" s="41" t="s">
        <v>796</v>
      </c>
      <c r="F116" s="19" t="s">
        <v>529</v>
      </c>
      <c r="G116" s="19" t="s">
        <v>530</v>
      </c>
      <c r="H116" s="19" t="s">
        <v>531</v>
      </c>
    </row>
    <row r="117" spans="1:8" ht="12.75" customHeight="1">
      <c r="A117" s="1" t="str">
        <f t="shared" si="3"/>
        <v>B</v>
      </c>
      <c r="B117" s="5">
        <v>135</v>
      </c>
      <c r="C117" s="19" t="s">
        <v>734</v>
      </c>
      <c r="D117" s="19" t="s">
        <v>53</v>
      </c>
      <c r="E117" s="41" t="s">
        <v>739</v>
      </c>
      <c r="F117" s="19" t="s">
        <v>735</v>
      </c>
      <c r="G117" s="19" t="s">
        <v>734</v>
      </c>
      <c r="H117" s="19" t="s">
        <v>735</v>
      </c>
    </row>
    <row r="118" spans="1:8" ht="12.75" customHeight="1">
      <c r="A118" s="1" t="str">
        <f t="shared" si="3"/>
        <v>D</v>
      </c>
      <c r="B118" s="5">
        <v>136</v>
      </c>
      <c r="C118" s="19" t="s">
        <v>736</v>
      </c>
      <c r="D118" s="19" t="s">
        <v>736</v>
      </c>
      <c r="E118" s="41" t="s">
        <v>740</v>
      </c>
      <c r="F118" s="19" t="s">
        <v>737</v>
      </c>
      <c r="G118" s="19" t="s">
        <v>736</v>
      </c>
      <c r="H118" s="19" t="s">
        <v>737</v>
      </c>
    </row>
    <row r="119" spans="1:8" ht="12.75" customHeight="1">
      <c r="A119" s="1" t="str">
        <f t="shared" si="3"/>
        <v>H</v>
      </c>
      <c r="B119" s="5">
        <v>137</v>
      </c>
      <c r="C119" s="19" t="s">
        <v>738</v>
      </c>
      <c r="D119" s="19" t="s">
        <v>738</v>
      </c>
      <c r="E119" s="41" t="s">
        <v>741</v>
      </c>
      <c r="F119" s="19" t="s">
        <v>3</v>
      </c>
      <c r="G119" s="19" t="s">
        <v>738</v>
      </c>
      <c r="H119" s="19" t="s">
        <v>738</v>
      </c>
    </row>
    <row r="120" spans="1:8" ht="12.75">
      <c r="A120" s="1" t="str">
        <f t="shared" si="3"/>
        <v>Väggar:</v>
      </c>
      <c r="B120" s="5">
        <v>108</v>
      </c>
      <c r="C120" s="5" t="s">
        <v>808</v>
      </c>
      <c r="D120" s="5" t="s">
        <v>809</v>
      </c>
      <c r="E120" s="41" t="s">
        <v>532</v>
      </c>
      <c r="F120" s="19" t="s">
        <v>810</v>
      </c>
      <c r="G120" s="22" t="s">
        <v>811</v>
      </c>
      <c r="H120" t="s">
        <v>812</v>
      </c>
    </row>
    <row r="121" spans="1:8" ht="12.75">
      <c r="A121" s="1" t="str">
        <f t="shared" si="3"/>
        <v>Laminat</v>
      </c>
      <c r="B121" s="5">
        <v>109</v>
      </c>
      <c r="C121" s="19" t="s">
        <v>605</v>
      </c>
      <c r="D121" s="19" t="s">
        <v>607</v>
      </c>
      <c r="E121" s="41" t="s">
        <v>748</v>
      </c>
      <c r="F121" s="19" t="s">
        <v>606</v>
      </c>
      <c r="G121" s="19" t="s">
        <v>607</v>
      </c>
      <c r="H121" s="19" t="s">
        <v>608</v>
      </c>
    </row>
    <row r="122" spans="1:8" ht="18">
      <c r="A122" s="1" t="str">
        <f t="shared" si="3"/>
        <v>Skin plate</v>
      </c>
      <c r="B122" s="5">
        <v>110</v>
      </c>
      <c r="C122" s="19" t="s">
        <v>593</v>
      </c>
      <c r="D122" s="19" t="s">
        <v>593</v>
      </c>
      <c r="E122" s="41" t="s">
        <v>746</v>
      </c>
      <c r="F122" s="19" t="s">
        <v>593</v>
      </c>
      <c r="G122" s="19" t="s">
        <v>609</v>
      </c>
      <c r="H122" s="19" t="s">
        <v>593</v>
      </c>
    </row>
    <row r="123" spans="1:17" ht="12.75">
      <c r="A123" s="1" t="str">
        <f t="shared" si="3"/>
        <v>Rostfritt- Satin</v>
      </c>
      <c r="B123" s="5">
        <v>111</v>
      </c>
      <c r="C123" s="19" t="s">
        <v>610</v>
      </c>
      <c r="D123" s="19" t="s">
        <v>611</v>
      </c>
      <c r="E123" s="41" t="s">
        <v>747</v>
      </c>
      <c r="F123" s="19" t="s">
        <v>612</v>
      </c>
      <c r="G123" s="19" t="s">
        <v>613</v>
      </c>
      <c r="H123" s="19" t="s">
        <v>612</v>
      </c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1:17" ht="12.75">
      <c r="A124" s="1" t="str">
        <f t="shared" si="3"/>
        <v>Spegel</v>
      </c>
      <c r="B124" s="5">
        <v>112</v>
      </c>
      <c r="C124" s="19" t="s">
        <v>533</v>
      </c>
      <c r="D124" s="19" t="s">
        <v>534</v>
      </c>
      <c r="E124" s="41" t="s">
        <v>535</v>
      </c>
      <c r="F124" s="19" t="s">
        <v>536</v>
      </c>
      <c r="G124" s="34" t="s">
        <v>537</v>
      </c>
      <c r="H124" s="34" t="s">
        <v>538</v>
      </c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1:8" ht="12.75">
      <c r="A125" s="1" t="str">
        <f t="shared" si="3"/>
        <v>Bakvägg</v>
      </c>
      <c r="B125" s="5">
        <v>113</v>
      </c>
      <c r="C125" s="19" t="s">
        <v>614</v>
      </c>
      <c r="D125" s="19" t="s">
        <v>615</v>
      </c>
      <c r="E125" s="41" t="s">
        <v>616</v>
      </c>
      <c r="F125" s="19" t="s">
        <v>617</v>
      </c>
      <c r="G125" s="34" t="s">
        <v>618</v>
      </c>
      <c r="H125" s="34" t="s">
        <v>619</v>
      </c>
    </row>
    <row r="126" spans="1:8" ht="12.75">
      <c r="A126" s="1" t="str">
        <f t="shared" si="3"/>
        <v>Sidovägg (motsatt COP)</v>
      </c>
      <c r="B126" s="5">
        <v>114</v>
      </c>
      <c r="C126" s="19" t="s">
        <v>620</v>
      </c>
      <c r="D126" s="19" t="s">
        <v>621</v>
      </c>
      <c r="E126" s="41" t="s">
        <v>622</v>
      </c>
      <c r="F126" s="19" t="s">
        <v>623</v>
      </c>
      <c r="G126" s="34" t="s">
        <v>624</v>
      </c>
      <c r="H126" s="34" t="s">
        <v>625</v>
      </c>
    </row>
    <row r="127" spans="1:8" ht="12.75">
      <c r="A127" s="1" t="str">
        <f t="shared" si="3"/>
        <v>Sidovägg - COP sida</v>
      </c>
      <c r="B127" s="5">
        <v>115</v>
      </c>
      <c r="C127" s="19" t="s">
        <v>626</v>
      </c>
      <c r="D127" s="19" t="s">
        <v>627</v>
      </c>
      <c r="E127" s="41" t="s">
        <v>628</v>
      </c>
      <c r="F127" s="19" t="s">
        <v>629</v>
      </c>
      <c r="G127" s="34" t="s">
        <v>630</v>
      </c>
      <c r="H127" s="34" t="s">
        <v>631</v>
      </c>
    </row>
    <row r="128" spans="1:8" ht="12.75">
      <c r="A128" s="1" t="str">
        <f t="shared" si="3"/>
        <v>Glasvägg</v>
      </c>
      <c r="B128" s="5">
        <v>116</v>
      </c>
      <c r="C128" s="37" t="s">
        <v>539</v>
      </c>
      <c r="D128" s="37" t="s">
        <v>540</v>
      </c>
      <c r="E128" s="52" t="s">
        <v>541</v>
      </c>
      <c r="F128" s="37" t="s">
        <v>542</v>
      </c>
      <c r="G128" s="39" t="s">
        <v>543</v>
      </c>
      <c r="H128" s="37" t="s">
        <v>544</v>
      </c>
    </row>
    <row r="129" spans="1:8" s="178" customFormat="1" ht="12.75">
      <c r="A129" s="1" t="str">
        <f t="shared" si="3"/>
        <v>Tröskel</v>
      </c>
      <c r="B129" s="5">
        <v>138</v>
      </c>
      <c r="C129" s="7" t="s">
        <v>828</v>
      </c>
      <c r="D129" s="180" t="s">
        <v>45</v>
      </c>
      <c r="E129" s="181" t="s">
        <v>813</v>
      </c>
      <c r="F129" s="19" t="s">
        <v>829</v>
      </c>
      <c r="G129" s="179" t="s">
        <v>831</v>
      </c>
      <c r="H129" s="19" t="s">
        <v>830</v>
      </c>
    </row>
    <row r="130" spans="1:8" s="178" customFormat="1" ht="12.75">
      <c r="A130" s="1" t="str">
        <f t="shared" si="3"/>
        <v>förstäkt alu.</v>
      </c>
      <c r="B130" s="5">
        <v>150</v>
      </c>
      <c r="C130" t="s">
        <v>814</v>
      </c>
      <c r="D130" t="s">
        <v>815</v>
      </c>
      <c r="E130"/>
      <c r="F130" t="s">
        <v>816</v>
      </c>
      <c r="G130" s="183" t="s">
        <v>817</v>
      </c>
      <c r="H130" s="183" t="s">
        <v>818</v>
      </c>
    </row>
    <row r="131" spans="1:8" s="178" customFormat="1" ht="12.75">
      <c r="A131" s="1" t="str">
        <f t="shared" si="3"/>
        <v>Plåt</v>
      </c>
      <c r="B131" s="5">
        <v>151</v>
      </c>
      <c r="C131" s="19" t="s">
        <v>850</v>
      </c>
      <c r="D131" t="s">
        <v>819</v>
      </c>
      <c r="E131"/>
      <c r="F131" s="19" t="s">
        <v>854</v>
      </c>
      <c r="G131" s="183" t="s">
        <v>820</v>
      </c>
      <c r="H131" s="183" t="s">
        <v>821</v>
      </c>
    </row>
    <row r="132" spans="1:8" s="178" customFormat="1" ht="12.75">
      <c r="A132" s="1" t="str">
        <f t="shared" si="3"/>
        <v>massiv järn</v>
      </c>
      <c r="B132" s="5">
        <v>152</v>
      </c>
      <c r="C132" s="19" t="s">
        <v>822</v>
      </c>
      <c r="D132" t="s">
        <v>851</v>
      </c>
      <c r="E132"/>
      <c r="F132" s="19" t="s">
        <v>855</v>
      </c>
      <c r="G132" s="46" t="s">
        <v>857</v>
      </c>
      <c r="H132" s="46" t="s">
        <v>852</v>
      </c>
    </row>
    <row r="133" spans="1:8" s="178" customFormat="1" ht="12.75">
      <c r="A133" s="1" t="str">
        <f t="shared" si="3"/>
        <v>Rostfri</v>
      </c>
      <c r="B133" s="5">
        <v>153</v>
      </c>
      <c r="C133" s="19" t="s">
        <v>677</v>
      </c>
      <c r="D133" s="19" t="s">
        <v>848</v>
      </c>
      <c r="E133"/>
      <c r="F133" s="19" t="s">
        <v>849</v>
      </c>
      <c r="G133" s="46" t="s">
        <v>856</v>
      </c>
      <c r="H133" s="46" t="s">
        <v>858</v>
      </c>
    </row>
    <row r="134" spans="1:8" s="178" customFormat="1" ht="12.75">
      <c r="A134" s="1" t="str">
        <f t="shared" si="3"/>
        <v>Massive Rostfri</v>
      </c>
      <c r="B134" s="5">
        <v>154</v>
      </c>
      <c r="C134" s="19" t="s">
        <v>853</v>
      </c>
      <c r="D134" t="s">
        <v>823</v>
      </c>
      <c r="E134"/>
      <c r="F134" t="s">
        <v>824</v>
      </c>
      <c r="G134" s="183" t="s">
        <v>825</v>
      </c>
      <c r="H134" s="183" t="s">
        <v>826</v>
      </c>
    </row>
    <row r="135" spans="1:8" ht="12.75">
      <c r="A135" s="1" t="str">
        <f t="shared" si="3"/>
        <v>Handledare</v>
      </c>
      <c r="B135" s="5">
        <v>117</v>
      </c>
      <c r="C135" s="19" t="s">
        <v>545</v>
      </c>
      <c r="D135" s="19" t="s">
        <v>546</v>
      </c>
      <c r="E135" s="72" t="s">
        <v>753</v>
      </c>
      <c r="F135" s="19" t="s">
        <v>547</v>
      </c>
      <c r="G135" s="34" t="s">
        <v>77</v>
      </c>
      <c r="H135" s="34" t="s">
        <v>78</v>
      </c>
    </row>
    <row r="136" spans="1:8" ht="12.75">
      <c r="A136" s="1" t="str">
        <f t="shared" si="3"/>
        <v>Golv</v>
      </c>
      <c r="B136" s="5">
        <v>118</v>
      </c>
      <c r="C136" s="39" t="s">
        <v>316</v>
      </c>
      <c r="D136" s="39" t="s">
        <v>548</v>
      </c>
      <c r="E136" s="41" t="s">
        <v>549</v>
      </c>
      <c r="F136" s="37" t="s">
        <v>550</v>
      </c>
      <c r="G136" s="39" t="s">
        <v>551</v>
      </c>
      <c r="H136" s="37" t="s">
        <v>552</v>
      </c>
    </row>
    <row r="137" spans="1:8" ht="12.75">
      <c r="A137" s="1" t="str">
        <f t="shared" si="3"/>
        <v>PVC</v>
      </c>
      <c r="B137" s="5">
        <v>119</v>
      </c>
      <c r="C137" s="34" t="s">
        <v>632</v>
      </c>
      <c r="D137" s="34" t="s">
        <v>632</v>
      </c>
      <c r="E137" s="41" t="s">
        <v>632</v>
      </c>
      <c r="F137" s="19" t="s">
        <v>633</v>
      </c>
      <c r="G137" s="34" t="s">
        <v>632</v>
      </c>
      <c r="H137" s="34" t="s">
        <v>632</v>
      </c>
    </row>
    <row r="138" spans="1:8" ht="12.75">
      <c r="A138" s="1" t="str">
        <f t="shared" si="3"/>
        <v>Gummi</v>
      </c>
      <c r="B138" s="5">
        <v>120</v>
      </c>
      <c r="C138" s="34" t="s">
        <v>634</v>
      </c>
      <c r="D138" s="34" t="s">
        <v>635</v>
      </c>
      <c r="E138" s="41" t="s">
        <v>636</v>
      </c>
      <c r="F138" s="19" t="s">
        <v>840</v>
      </c>
      <c r="G138" s="34" t="s">
        <v>635</v>
      </c>
      <c r="H138" s="34" t="s">
        <v>841</v>
      </c>
    </row>
    <row r="139" spans="1:8" ht="12.75">
      <c r="A139" s="1" t="str">
        <f t="shared" si="3"/>
        <v>Sten</v>
      </c>
      <c r="B139" s="5">
        <v>121</v>
      </c>
      <c r="C139" s="34" t="s">
        <v>847</v>
      </c>
      <c r="D139" s="34" t="s">
        <v>846</v>
      </c>
      <c r="E139" s="41" t="s">
        <v>842</v>
      </c>
      <c r="F139" s="19" t="s">
        <v>845</v>
      </c>
      <c r="G139" s="34" t="s">
        <v>843</v>
      </c>
      <c r="H139" s="34" t="s">
        <v>844</v>
      </c>
    </row>
    <row r="140" spans="1:8" ht="12.75">
      <c r="A140" s="1" t="str">
        <f t="shared" si="3"/>
        <v>Belysning:</v>
      </c>
      <c r="B140" s="5">
        <v>122</v>
      </c>
      <c r="C140" s="37" t="s">
        <v>637</v>
      </c>
      <c r="D140" s="37" t="s">
        <v>638</v>
      </c>
      <c r="E140" s="41" t="s">
        <v>639</v>
      </c>
      <c r="F140" s="37" t="s">
        <v>640</v>
      </c>
      <c r="G140" s="37" t="s">
        <v>641</v>
      </c>
      <c r="H140" s="37" t="s">
        <v>642</v>
      </c>
    </row>
    <row r="141" spans="1:8" ht="12.75">
      <c r="A141" s="1" t="str">
        <f t="shared" si="3"/>
        <v>Standard</v>
      </c>
      <c r="B141" s="5">
        <v>123</v>
      </c>
      <c r="C141" s="19" t="s">
        <v>568</v>
      </c>
      <c r="D141" s="19" t="s">
        <v>568</v>
      </c>
      <c r="E141" s="41" t="s">
        <v>775</v>
      </c>
      <c r="F141" s="19" t="s">
        <v>568</v>
      </c>
      <c r="G141" s="34" t="s">
        <v>568</v>
      </c>
      <c r="H141" s="19" t="s">
        <v>568</v>
      </c>
    </row>
    <row r="142" spans="1:8" ht="12.75">
      <c r="A142" s="1" t="str">
        <f t="shared" si="3"/>
        <v>Spotlights</v>
      </c>
      <c r="B142" s="5">
        <v>124</v>
      </c>
      <c r="C142" s="19" t="s">
        <v>643</v>
      </c>
      <c r="D142" s="19" t="s">
        <v>644</v>
      </c>
      <c r="E142" s="41" t="s">
        <v>645</v>
      </c>
      <c r="F142" s="19" t="s">
        <v>646</v>
      </c>
      <c r="G142" s="34" t="s">
        <v>647</v>
      </c>
      <c r="H142" s="19" t="s">
        <v>647</v>
      </c>
    </row>
    <row r="143" spans="1:8" ht="12.75">
      <c r="A143" s="1" t="str">
        <f t="shared" si="3"/>
        <v>Ljustak</v>
      </c>
      <c r="B143" s="5">
        <v>125</v>
      </c>
      <c r="C143" s="19" t="s">
        <v>648</v>
      </c>
      <c r="D143" s="19" t="s">
        <v>649</v>
      </c>
      <c r="E143" s="41" t="s">
        <v>751</v>
      </c>
      <c r="F143" s="54" t="s">
        <v>680</v>
      </c>
      <c r="G143" s="34" t="s">
        <v>650</v>
      </c>
      <c r="H143" s="19" t="s">
        <v>651</v>
      </c>
    </row>
    <row r="144" spans="1:8" ht="12.75">
      <c r="A144" s="1" t="str">
        <f t="shared" si="3"/>
        <v>Fällsits</v>
      </c>
      <c r="B144" s="5">
        <v>126</v>
      </c>
      <c r="C144" s="19" t="s">
        <v>553</v>
      </c>
      <c r="D144" s="19" t="s">
        <v>554</v>
      </c>
      <c r="E144" s="41" t="s">
        <v>742</v>
      </c>
      <c r="F144" s="19" t="s">
        <v>555</v>
      </c>
      <c r="G144" s="34" t="s">
        <v>556</v>
      </c>
      <c r="H144" s="34" t="s">
        <v>557</v>
      </c>
    </row>
    <row r="145" spans="1:8" ht="12.75">
      <c r="A145" s="1" t="str">
        <f t="shared" si="3"/>
        <v>Infälld</v>
      </c>
      <c r="B145" s="5">
        <v>127</v>
      </c>
      <c r="C145" s="19" t="s">
        <v>558</v>
      </c>
      <c r="D145" s="19" t="s">
        <v>559</v>
      </c>
      <c r="E145" s="41" t="s">
        <v>750</v>
      </c>
      <c r="F145" s="19" t="s">
        <v>560</v>
      </c>
      <c r="G145" s="34" t="s">
        <v>561</v>
      </c>
      <c r="H145" s="34" t="s">
        <v>562</v>
      </c>
    </row>
    <row r="146" spans="1:8" ht="17.25">
      <c r="A146" s="1" t="str">
        <f t="shared" si="3"/>
        <v>Avbärare</v>
      </c>
      <c r="B146" s="5">
        <v>128</v>
      </c>
      <c r="C146" s="7" t="s">
        <v>652</v>
      </c>
      <c r="D146" s="5" t="s">
        <v>827</v>
      </c>
      <c r="E146" s="73" t="s">
        <v>749</v>
      </c>
      <c r="F146" s="1" t="s">
        <v>653</v>
      </c>
      <c r="G146" s="1" t="s">
        <v>654</v>
      </c>
      <c r="H146" s="1" t="s">
        <v>655</v>
      </c>
    </row>
    <row r="147" spans="1:8" ht="12.75">
      <c r="A147" s="1" t="str">
        <f t="shared" si="3"/>
        <v>1 rad</v>
      </c>
      <c r="B147" s="5">
        <v>129</v>
      </c>
      <c r="C147" s="5" t="s">
        <v>656</v>
      </c>
      <c r="D147" s="5" t="s">
        <v>657</v>
      </c>
      <c r="E147" s="2" t="s">
        <v>745</v>
      </c>
      <c r="F147" s="1" t="s">
        <v>658</v>
      </c>
      <c r="G147" s="1" t="s">
        <v>659</v>
      </c>
      <c r="H147" s="1" t="s">
        <v>660</v>
      </c>
    </row>
    <row r="148" spans="1:8" ht="12.75">
      <c r="A148" s="1" t="str">
        <f t="shared" si="3"/>
        <v>2 rader</v>
      </c>
      <c r="B148" s="5">
        <v>130</v>
      </c>
      <c r="C148" s="19" t="s">
        <v>661</v>
      </c>
      <c r="D148" s="19" t="s">
        <v>662</v>
      </c>
      <c r="E148" s="41" t="s">
        <v>744</v>
      </c>
      <c r="F148" s="19" t="s">
        <v>743</v>
      </c>
      <c r="G148" s="34" t="s">
        <v>663</v>
      </c>
      <c r="H148" s="19" t="s">
        <v>664</v>
      </c>
    </row>
    <row r="149" spans="1:8" ht="12.75">
      <c r="A149" s="1" t="str">
        <f t="shared" si="3"/>
        <v>3 rader</v>
      </c>
      <c r="B149" s="5">
        <v>131</v>
      </c>
      <c r="C149" s="19" t="s">
        <v>665</v>
      </c>
      <c r="D149" s="19" t="s">
        <v>666</v>
      </c>
      <c r="E149" s="74" t="s">
        <v>759</v>
      </c>
      <c r="F149" s="19" t="s">
        <v>667</v>
      </c>
      <c r="G149" s="34" t="s">
        <v>668</v>
      </c>
      <c r="H149" s="19" t="s">
        <v>669</v>
      </c>
    </row>
    <row r="150" spans="1:8" ht="12.75">
      <c r="A150" s="1" t="str">
        <f t="shared" si="3"/>
        <v>Trä</v>
      </c>
      <c r="B150" s="5">
        <v>132</v>
      </c>
      <c r="C150" s="19" t="s">
        <v>670</v>
      </c>
      <c r="D150" s="19" t="s">
        <v>671</v>
      </c>
      <c r="E150" s="41" t="s">
        <v>672</v>
      </c>
      <c r="F150" s="54" t="s">
        <v>673</v>
      </c>
      <c r="G150" s="34" t="s">
        <v>674</v>
      </c>
      <c r="H150" s="19" t="s">
        <v>675</v>
      </c>
    </row>
    <row r="151" spans="1:8" ht="12.75">
      <c r="A151" s="1" t="str">
        <f t="shared" si="3"/>
        <v>Rostfritt</v>
      </c>
      <c r="B151" s="5">
        <v>133</v>
      </c>
      <c r="C151" s="7" t="s">
        <v>681</v>
      </c>
      <c r="D151" s="5" t="s">
        <v>12</v>
      </c>
      <c r="E151" s="2" t="s">
        <v>676</v>
      </c>
      <c r="F151" s="1" t="s">
        <v>677</v>
      </c>
      <c r="G151" s="1" t="s">
        <v>677</v>
      </c>
      <c r="H151" s="1" t="s">
        <v>677</v>
      </c>
    </row>
    <row r="152" spans="1:8" ht="12.75">
      <c r="A152" s="1" t="str">
        <f t="shared" si="3"/>
        <v>EXTRA</v>
      </c>
      <c r="B152" s="5">
        <v>134</v>
      </c>
      <c r="C152" s="19" t="s">
        <v>682</v>
      </c>
      <c r="D152" s="19" t="s">
        <v>682</v>
      </c>
      <c r="E152" s="41" t="s">
        <v>683</v>
      </c>
      <c r="F152" s="19" t="s">
        <v>682</v>
      </c>
      <c r="G152" s="19" t="s">
        <v>682</v>
      </c>
      <c r="H152" s="27" t="s">
        <v>682</v>
      </c>
    </row>
    <row r="153" spans="1:8" ht="12.75">
      <c r="A153" s="1" t="str">
        <f t="shared" si="3"/>
        <v>Vägg, korg och Schaktdörrar finish i RAL</v>
      </c>
      <c r="B153" s="1">
        <v>135</v>
      </c>
      <c r="C153" s="1" t="s">
        <v>777</v>
      </c>
      <c r="D153" s="19" t="s">
        <v>778</v>
      </c>
      <c r="E153" s="14" t="s">
        <v>800</v>
      </c>
      <c r="F153" s="13" t="s">
        <v>784</v>
      </c>
      <c r="G153" s="1" t="s">
        <v>780</v>
      </c>
      <c r="H153" s="1" t="s">
        <v>781</v>
      </c>
    </row>
    <row r="154" spans="1:8" ht="12.75">
      <c r="A154" s="1" t="str">
        <f t="shared" si="3"/>
        <v>Vägg, korg och Schaktdörrar finish </v>
      </c>
      <c r="B154" s="1">
        <v>136</v>
      </c>
      <c r="C154" s="13" t="s">
        <v>782</v>
      </c>
      <c r="D154" s="19" t="s">
        <v>783</v>
      </c>
      <c r="E154" s="14" t="s">
        <v>801</v>
      </c>
      <c r="F154" s="13" t="s">
        <v>779</v>
      </c>
      <c r="G154" s="1" t="s">
        <v>780</v>
      </c>
      <c r="H154" s="13" t="s">
        <v>785</v>
      </c>
    </row>
    <row r="155" spans="1:8" ht="12.75">
      <c r="A155" s="1" t="str">
        <f t="shared" si="3"/>
        <v>Golv Korg</v>
      </c>
      <c r="B155" s="1">
        <v>137</v>
      </c>
      <c r="C155" s="39" t="s">
        <v>805</v>
      </c>
      <c r="D155" s="39" t="s">
        <v>804</v>
      </c>
      <c r="E155" s="41" t="s">
        <v>802</v>
      </c>
      <c r="F155" s="37" t="s">
        <v>803</v>
      </c>
      <c r="G155" s="39" t="s">
        <v>806</v>
      </c>
      <c r="H155" s="37" t="s">
        <v>807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"/>
  <dimension ref="A1:BP73"/>
  <sheetViews>
    <sheetView zoomScale="98" zoomScaleNormal="98" zoomScalePageLayoutView="0" workbookViewId="0" topLeftCell="A1">
      <pane ySplit="8" topLeftCell="A9" activePane="bottomLeft" state="frozen"/>
      <selection pane="topLeft" activeCell="A1" sqref="A1"/>
      <selection pane="bottomLeft" activeCell="C2" sqref="C2:G2"/>
    </sheetView>
  </sheetViews>
  <sheetFormatPr defaultColWidth="9.140625" defaultRowHeight="12.75"/>
  <cols>
    <col min="1" max="1" width="1.28515625" style="81" customWidth="1"/>
    <col min="2" max="2" width="0.9921875" style="81" customWidth="1"/>
    <col min="3" max="5" width="1.7109375" style="81" customWidth="1"/>
    <col min="6" max="6" width="2.28125" style="81" customWidth="1"/>
    <col min="7" max="9" width="1.7109375" style="81" customWidth="1"/>
    <col min="10" max="10" width="2.00390625" style="81" customWidth="1"/>
    <col min="11" max="22" width="1.7109375" style="81" customWidth="1"/>
    <col min="23" max="23" width="1.8515625" style="81" customWidth="1"/>
    <col min="24" max="34" width="1.7109375" style="81" customWidth="1"/>
    <col min="35" max="35" width="2.7109375" style="81" customWidth="1"/>
    <col min="36" max="55" width="1.7109375" style="81" customWidth="1"/>
    <col min="56" max="56" width="2.00390625" style="81" customWidth="1"/>
    <col min="57" max="57" width="1.57421875" style="81" customWidth="1"/>
    <col min="58" max="58" width="1.7109375" style="81" customWidth="1"/>
    <col min="59" max="16384" width="9.140625" style="81" customWidth="1"/>
  </cols>
  <sheetData>
    <row r="1" spans="1:58" ht="18.75" customHeight="1">
      <c r="A1" s="80"/>
      <c r="B1" s="80"/>
      <c r="C1" s="379" t="s">
        <v>760</v>
      </c>
      <c r="D1" s="380"/>
      <c r="E1" s="380"/>
      <c r="F1" s="380"/>
      <c r="G1" s="380"/>
      <c r="H1" s="381" t="str">
        <f>Språk!E11</f>
        <v>Hydroware Elevation Technology AB</v>
      </c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</row>
    <row r="2" spans="1:58" ht="16.5" customHeight="1">
      <c r="A2" s="80"/>
      <c r="B2" s="80"/>
      <c r="C2" s="385" t="s">
        <v>171</v>
      </c>
      <c r="D2" s="386"/>
      <c r="E2" s="386"/>
      <c r="F2" s="386"/>
      <c r="G2" s="387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389">
        <f ca="1">TODAY()</f>
        <v>42703</v>
      </c>
      <c r="T2" s="390"/>
      <c r="U2" s="390"/>
      <c r="V2" s="390"/>
      <c r="W2" s="390"/>
      <c r="X2" s="390"/>
      <c r="Y2" s="390"/>
      <c r="Z2" s="390"/>
      <c r="AA2" s="39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</row>
    <row r="3" spans="1:58" ht="9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2"/>
      <c r="Z3" s="80"/>
      <c r="AA3" s="80"/>
      <c r="AB3" s="80"/>
      <c r="AC3" s="80"/>
      <c r="AD3" s="80"/>
      <c r="AE3" s="80"/>
      <c r="AF3" s="80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3" t="str">
        <f>Språk!E16</f>
        <v>العميل:</v>
      </c>
      <c r="AZ3" s="383"/>
      <c r="BA3" s="383"/>
      <c r="BB3" s="383"/>
      <c r="BC3" s="383"/>
      <c r="BD3" s="383"/>
      <c r="BE3" s="383"/>
      <c r="BF3" s="80"/>
    </row>
    <row r="4" spans="1:58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392" t="str">
        <f>Språk!E15</f>
        <v>طلب</v>
      </c>
      <c r="U4" s="281"/>
      <c r="V4" s="281"/>
      <c r="W4" s="281"/>
      <c r="X4" s="80"/>
      <c r="Y4" s="82"/>
      <c r="Z4" s="80"/>
      <c r="AA4" s="80"/>
      <c r="AB4" s="80"/>
      <c r="AC4" s="80"/>
      <c r="AD4" s="80"/>
      <c r="AE4" s="80"/>
      <c r="AF4" s="80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83" t="str">
        <f>Språk!E17</f>
        <v>الرقم</v>
      </c>
      <c r="AZ4" s="383"/>
      <c r="BA4" s="383"/>
      <c r="BB4" s="383"/>
      <c r="BC4" s="383"/>
      <c r="BD4" s="383"/>
      <c r="BE4" s="383"/>
      <c r="BF4" s="80"/>
    </row>
    <row r="5" spans="1:58" ht="13.5" customHeight="1">
      <c r="A5" s="83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2"/>
      <c r="Z5" s="80"/>
      <c r="AA5" s="80"/>
      <c r="AB5" s="80"/>
      <c r="AC5" s="80"/>
      <c r="AD5" s="80"/>
      <c r="AE5" s="80"/>
      <c r="AF5" s="80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83" t="str">
        <f>Språk!E18</f>
        <v>مرجعكم</v>
      </c>
      <c r="AZ5" s="383"/>
      <c r="BA5" s="383"/>
      <c r="BB5" s="383"/>
      <c r="BC5" s="383"/>
      <c r="BD5" s="383"/>
      <c r="BE5" s="383"/>
      <c r="BF5" s="80"/>
    </row>
    <row r="6" spans="1:58" ht="12" customHeight="1">
      <c r="A6" s="83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392" t="str">
        <f>Språk!E14</f>
        <v>عرض سعر</v>
      </c>
      <c r="T6" s="240"/>
      <c r="U6" s="240"/>
      <c r="V6" s="240"/>
      <c r="W6" s="240"/>
      <c r="X6" s="80"/>
      <c r="Y6" s="82"/>
      <c r="Z6" s="80"/>
      <c r="AA6" s="80"/>
      <c r="AB6" s="80"/>
      <c r="AC6" s="80"/>
      <c r="AD6" s="80"/>
      <c r="AE6" s="80"/>
      <c r="AF6" s="80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84" t="str">
        <f>Språk!E20</f>
        <v>هاتف</v>
      </c>
      <c r="AZ6" s="384"/>
      <c r="BA6" s="384"/>
      <c r="BB6" s="384"/>
      <c r="BC6" s="384"/>
      <c r="BD6" s="384"/>
      <c r="BE6" s="384"/>
      <c r="BF6" s="80"/>
    </row>
    <row r="7" spans="1:58" ht="11.25" customHeight="1">
      <c r="A7" s="83"/>
      <c r="B7" s="80"/>
      <c r="C7" s="391" t="s">
        <v>195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84" t="str">
        <f>Språk!E21</f>
        <v>بريد ألكتروني</v>
      </c>
      <c r="AZ7" s="384"/>
      <c r="BA7" s="384"/>
      <c r="BB7" s="384"/>
      <c r="BC7" s="384"/>
      <c r="BD7" s="384"/>
      <c r="BE7" s="384"/>
      <c r="BF7" s="80"/>
    </row>
    <row r="8" spans="1:58" ht="5.25" customHeight="1">
      <c r="A8" s="377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</row>
    <row r="9" spans="1:58" s="88" customFormat="1" ht="3.7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7"/>
    </row>
    <row r="10" spans="1:58" ht="11.25" customHeight="1">
      <c r="A10" s="349"/>
      <c r="B10" s="330"/>
      <c r="C10" s="330"/>
      <c r="D10" s="330"/>
      <c r="E10" s="330"/>
      <c r="F10" s="330"/>
      <c r="G10" s="330"/>
      <c r="H10" s="330"/>
      <c r="I10" s="330"/>
      <c r="J10" s="221" t="str">
        <f>Språk!E33</f>
        <v>آخر</v>
      </c>
      <c r="K10" s="221"/>
      <c r="L10" s="221"/>
      <c r="M10" s="234" t="str">
        <f>Språk!E32</f>
        <v>مطار / محطة قطار / مترو</v>
      </c>
      <c r="N10" s="234"/>
      <c r="O10" s="234"/>
      <c r="P10" s="234"/>
      <c r="Q10" s="234"/>
      <c r="R10" s="234"/>
      <c r="S10" s="234"/>
      <c r="T10" s="234"/>
      <c r="U10" s="234"/>
      <c r="V10" s="82"/>
      <c r="W10" s="82"/>
      <c r="X10" s="267" t="str">
        <f>Språk!E30</f>
        <v>مركز تسوق</v>
      </c>
      <c r="Y10" s="267"/>
      <c r="Z10" s="267"/>
      <c r="AA10" s="267"/>
      <c r="AB10" s="267"/>
      <c r="AC10" s="267"/>
      <c r="AD10" s="267"/>
      <c r="AE10" s="267"/>
      <c r="AF10" s="267"/>
      <c r="AG10" s="82"/>
      <c r="AH10" s="82"/>
      <c r="AI10" s="234" t="str">
        <f>Språk!E31</f>
        <v>مستشفى</v>
      </c>
      <c r="AJ10" s="234"/>
      <c r="AK10" s="234"/>
      <c r="AL10" s="234"/>
      <c r="AM10" s="234"/>
      <c r="AN10" s="82"/>
      <c r="AO10" s="82"/>
      <c r="AP10" s="82"/>
      <c r="AQ10" s="82"/>
      <c r="AR10" s="82"/>
      <c r="AS10" s="77"/>
      <c r="AT10" s="267" t="str">
        <f>Språk!E29</f>
        <v>سكني</v>
      </c>
      <c r="AU10" s="267"/>
      <c r="AV10" s="267"/>
      <c r="AW10" s="267"/>
      <c r="AX10" s="82"/>
      <c r="AY10" s="82"/>
      <c r="AZ10" s="209" t="str">
        <f>Språk!E28</f>
        <v>نوع المبنى</v>
      </c>
      <c r="BA10" s="209"/>
      <c r="BB10" s="209"/>
      <c r="BC10" s="209"/>
      <c r="BD10" s="209"/>
      <c r="BE10" s="209"/>
      <c r="BF10" s="89"/>
    </row>
    <row r="11" spans="1:58" ht="12.75">
      <c r="A11" s="352"/>
      <c r="B11" s="353"/>
      <c r="C11" s="353"/>
      <c r="D11" s="353"/>
      <c r="E11" s="353"/>
      <c r="F11" s="353"/>
      <c r="G11" s="353"/>
      <c r="H11" s="353"/>
      <c r="I11" s="353"/>
      <c r="J11" s="221" t="str">
        <f>Språk!E33</f>
        <v>آخر</v>
      </c>
      <c r="K11" s="221"/>
      <c r="L11" s="221"/>
      <c r="M11" s="234"/>
      <c r="N11" s="234"/>
      <c r="O11" s="234"/>
      <c r="P11" s="234"/>
      <c r="Q11" s="234"/>
      <c r="R11" s="234"/>
      <c r="S11" s="234"/>
      <c r="T11" s="234"/>
      <c r="U11" s="234"/>
      <c r="V11" s="82"/>
      <c r="W11" s="82"/>
      <c r="X11" s="351" t="str">
        <f>Språk!E27</f>
        <v>مصعد السيارة</v>
      </c>
      <c r="Y11" s="267"/>
      <c r="Z11" s="267"/>
      <c r="AA11" s="267"/>
      <c r="AB11" s="267"/>
      <c r="AC11" s="267"/>
      <c r="AD11" s="267"/>
      <c r="AE11" s="267"/>
      <c r="AF11" s="267"/>
      <c r="AG11" s="82"/>
      <c r="AH11" s="82"/>
      <c r="AI11" s="234" t="str">
        <f>Språk!E26</f>
        <v>مصعد بضائع</v>
      </c>
      <c r="AJ11" s="234"/>
      <c r="AK11" s="234"/>
      <c r="AL11" s="234"/>
      <c r="AM11" s="234"/>
      <c r="AN11" s="82"/>
      <c r="AO11" s="82"/>
      <c r="AP11" s="82"/>
      <c r="AQ11" s="82"/>
      <c r="AR11" s="82"/>
      <c r="AS11" s="234" t="str">
        <f>Språk!E25</f>
        <v>مصعد ركاب</v>
      </c>
      <c r="AT11" s="234"/>
      <c r="AU11" s="234"/>
      <c r="AV11" s="234"/>
      <c r="AW11" s="234"/>
      <c r="AX11" s="82"/>
      <c r="AY11" s="82"/>
      <c r="AZ11" s="241" t="str">
        <f>Språk!E22</f>
        <v> تَجْهِيز</v>
      </c>
      <c r="BA11" s="209"/>
      <c r="BB11" s="209"/>
      <c r="BC11" s="209"/>
      <c r="BD11" s="209"/>
      <c r="BE11" s="209"/>
      <c r="BF11" s="89"/>
    </row>
    <row r="12" spans="1:58" ht="12.75">
      <c r="A12" s="85"/>
      <c r="B12" s="86"/>
      <c r="C12" s="86"/>
      <c r="D12" s="86"/>
      <c r="E12" s="86"/>
      <c r="F12" s="86"/>
      <c r="G12" s="86"/>
      <c r="H12" s="86"/>
      <c r="I12" s="86"/>
      <c r="J12" s="82"/>
      <c r="K12" s="82"/>
      <c r="L12" s="82"/>
      <c r="M12" s="234" t="str">
        <f>Språk!E49</f>
        <v>EN.81.73</v>
      </c>
      <c r="N12" s="234"/>
      <c r="O12" s="234"/>
      <c r="P12" s="234"/>
      <c r="Q12" s="234"/>
      <c r="R12" s="234"/>
      <c r="S12" s="234"/>
      <c r="T12" s="234"/>
      <c r="U12" s="234"/>
      <c r="V12" s="82"/>
      <c r="W12" s="82"/>
      <c r="X12" s="234" t="str">
        <f>Språk!E48</f>
        <v>EN81.70</v>
      </c>
      <c r="Y12" s="234"/>
      <c r="Z12" s="234"/>
      <c r="AA12" s="234"/>
      <c r="AB12" s="234"/>
      <c r="AC12" s="234"/>
      <c r="AD12" s="234"/>
      <c r="AE12" s="234"/>
      <c r="AF12" s="234"/>
      <c r="AG12" s="82"/>
      <c r="AH12" s="82"/>
      <c r="AI12" s="234" t="str">
        <f>Språk!E47</f>
        <v>EN81.21</v>
      </c>
      <c r="AJ12" s="234"/>
      <c r="AK12" s="234"/>
      <c r="AL12" s="234"/>
      <c r="AM12" s="234"/>
      <c r="AN12" s="82"/>
      <c r="AO12" s="82"/>
      <c r="AP12" s="82"/>
      <c r="AQ12" s="234" t="str">
        <f>Språk!E46</f>
        <v>95/16.EN81.28</v>
      </c>
      <c r="AR12" s="267"/>
      <c r="AS12" s="267"/>
      <c r="AT12" s="267"/>
      <c r="AU12" s="267"/>
      <c r="AV12" s="267"/>
      <c r="AW12" s="267"/>
      <c r="AX12" s="82"/>
      <c r="AY12" s="209" t="str">
        <f>Språk!E45</f>
        <v> وَفْقاً لِـ  توجيهات </v>
      </c>
      <c r="AZ12" s="215"/>
      <c r="BA12" s="215"/>
      <c r="BB12" s="215"/>
      <c r="BC12" s="215"/>
      <c r="BD12" s="215"/>
      <c r="BE12" s="215"/>
      <c r="BF12" s="89"/>
    </row>
    <row r="13" spans="1:58" ht="3" customHeight="1">
      <c r="A13" s="90"/>
      <c r="B13" s="91"/>
      <c r="C13" s="91"/>
      <c r="D13" s="91"/>
      <c r="E13" s="91"/>
      <c r="F13" s="91"/>
      <c r="G13" s="91"/>
      <c r="H13" s="91"/>
      <c r="I13" s="91"/>
      <c r="J13" s="92"/>
      <c r="K13" s="92"/>
      <c r="L13" s="92"/>
      <c r="M13" s="91"/>
      <c r="N13" s="91"/>
      <c r="O13" s="91"/>
      <c r="P13" s="91"/>
      <c r="Q13" s="91"/>
      <c r="R13" s="91"/>
      <c r="S13" s="92"/>
      <c r="T13" s="92"/>
      <c r="U13" s="91"/>
      <c r="V13" s="91"/>
      <c r="W13" s="91"/>
      <c r="X13" s="91"/>
      <c r="Y13" s="91"/>
      <c r="Z13" s="92"/>
      <c r="AA13" s="91"/>
      <c r="AB13" s="91"/>
      <c r="AC13" s="91"/>
      <c r="AD13" s="91"/>
      <c r="AE13" s="91"/>
      <c r="AF13" s="93"/>
      <c r="AG13" s="58"/>
      <c r="AH13" s="58"/>
      <c r="AI13" s="58"/>
      <c r="AJ13" s="58"/>
      <c r="AK13" s="58"/>
      <c r="AL13" s="58"/>
      <c r="AM13" s="92"/>
      <c r="AN13" s="92"/>
      <c r="AO13" s="92"/>
      <c r="AP13" s="92"/>
      <c r="AQ13" s="92"/>
      <c r="AR13" s="92"/>
      <c r="AS13" s="92"/>
      <c r="AT13" s="94"/>
      <c r="AU13" s="59"/>
      <c r="AV13" s="59"/>
      <c r="AW13" s="59"/>
      <c r="AX13" s="94"/>
      <c r="AY13" s="94"/>
      <c r="AZ13" s="94"/>
      <c r="BA13" s="94"/>
      <c r="BB13" s="94"/>
      <c r="BC13" s="94"/>
      <c r="BD13" s="95"/>
      <c r="BE13" s="95"/>
      <c r="BF13" s="96"/>
    </row>
    <row r="14" spans="1:58" ht="12.75">
      <c r="A14" s="249" t="str">
        <f>Språk!E34</f>
        <v>مواصفات بئر المصعد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58"/>
      <c r="S14" s="249" t="str">
        <f>Språk!E50</f>
        <v> ألبيانات الهيدروليكية</v>
      </c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9"/>
    </row>
    <row r="15" spans="1:58" ht="6" customHeight="1">
      <c r="A15" s="97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98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7"/>
    </row>
    <row r="16" spans="1:58" ht="12.75">
      <c r="A16" s="99"/>
      <c r="B16" s="88"/>
      <c r="C16" s="361" t="s">
        <v>3</v>
      </c>
      <c r="D16" s="361"/>
      <c r="E16" s="361" t="s">
        <v>53</v>
      </c>
      <c r="F16" s="36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100"/>
      <c r="T16" s="209" t="str">
        <f>Språk!E55</f>
        <v>Hydroelite Vidi</v>
      </c>
      <c r="U16" s="215"/>
      <c r="V16" s="215"/>
      <c r="W16" s="215"/>
      <c r="X16" s="215"/>
      <c r="Y16" s="215"/>
      <c r="Z16" s="215"/>
      <c r="AA16" s="215"/>
      <c r="AB16" s="234" t="str">
        <f>Språk!E54</f>
        <v>Hydroelite Veni</v>
      </c>
      <c r="AC16" s="234"/>
      <c r="AD16" s="234"/>
      <c r="AE16" s="234"/>
      <c r="AF16" s="234"/>
      <c r="AG16" s="234"/>
      <c r="AH16" s="234"/>
      <c r="AI16" s="82"/>
      <c r="AJ16" s="234" t="str">
        <f>Språk!E53</f>
        <v>دفع غير مباشر (2:1)</v>
      </c>
      <c r="AK16" s="267"/>
      <c r="AL16" s="267"/>
      <c r="AM16" s="267"/>
      <c r="AN16" s="267"/>
      <c r="AO16" s="267"/>
      <c r="AP16" s="267"/>
      <c r="AQ16" s="267"/>
      <c r="AR16" s="82"/>
      <c r="AS16" s="82"/>
      <c r="AT16" s="234" t="str">
        <f>Språk!E52</f>
        <v>دفع مباشر (1:1)</v>
      </c>
      <c r="AU16" s="234"/>
      <c r="AV16" s="234"/>
      <c r="AW16" s="234"/>
      <c r="AX16" s="234"/>
      <c r="AY16" s="267"/>
      <c r="AZ16" s="82"/>
      <c r="BA16" s="205" t="str">
        <f>Språk!E51</f>
        <v>نظام الرفع</v>
      </c>
      <c r="BB16" s="205"/>
      <c r="BC16" s="205"/>
      <c r="BD16" s="205"/>
      <c r="BE16" s="205"/>
      <c r="BF16" s="89"/>
    </row>
    <row r="17" spans="1:58" ht="12" customHeight="1">
      <c r="A17" s="354" t="s">
        <v>194</v>
      </c>
      <c r="B17" s="248"/>
      <c r="C17" s="201"/>
      <c r="D17" s="216"/>
      <c r="E17" s="348"/>
      <c r="F17" s="217"/>
      <c r="G17" s="356" t="str">
        <f>Språk!E36</f>
        <v>مسافة</v>
      </c>
      <c r="H17" s="357"/>
      <c r="I17" s="357"/>
      <c r="J17" s="357"/>
      <c r="K17" s="82"/>
      <c r="L17" s="82"/>
      <c r="M17" s="82"/>
      <c r="N17" s="82"/>
      <c r="O17" s="82"/>
      <c r="P17" s="82"/>
      <c r="Q17" s="82"/>
      <c r="R17" s="82"/>
      <c r="S17" s="100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9"/>
    </row>
    <row r="18" spans="1:58" ht="12.75">
      <c r="A18" s="101"/>
      <c r="B18" s="88"/>
      <c r="C18" s="361"/>
      <c r="D18" s="361"/>
      <c r="E18" s="361"/>
      <c r="F18" s="361"/>
      <c r="G18" s="102">
        <v>7</v>
      </c>
      <c r="H18" s="82"/>
      <c r="I18" s="82"/>
      <c r="J18" s="82"/>
      <c r="K18" s="201"/>
      <c r="L18" s="216"/>
      <c r="M18" s="348"/>
      <c r="N18" s="217"/>
      <c r="O18" s="363" t="str">
        <f>Språk!E43</f>
        <v>عدد الطوابق :</v>
      </c>
      <c r="P18" s="209"/>
      <c r="Q18" s="209"/>
      <c r="R18" s="209"/>
      <c r="S18" s="100"/>
      <c r="T18" s="209" t="s">
        <v>685</v>
      </c>
      <c r="U18" s="209"/>
      <c r="V18" s="228"/>
      <c r="W18" s="346"/>
      <c r="X18" s="346"/>
      <c r="Y18" s="346"/>
      <c r="Z18" s="346"/>
      <c r="AA18" s="88"/>
      <c r="AB18" s="220" t="str">
        <f>Språk!E56</f>
        <v>الحمولة </v>
      </c>
      <c r="AC18" s="220"/>
      <c r="AD18" s="220"/>
      <c r="AE18" s="220"/>
      <c r="AF18" s="220"/>
      <c r="AG18" s="220"/>
      <c r="AH18" s="220"/>
      <c r="AI18" s="220"/>
      <c r="AJ18" s="88"/>
      <c r="AK18" s="82"/>
      <c r="AL18" s="82"/>
      <c r="AM18" s="82"/>
      <c r="AN18" s="82"/>
      <c r="AO18" s="82"/>
      <c r="AP18" s="82"/>
      <c r="AQ18" s="214" t="s">
        <v>684</v>
      </c>
      <c r="AR18" s="215"/>
      <c r="AS18" s="228"/>
      <c r="AT18" s="347"/>
      <c r="AU18" s="347"/>
      <c r="AV18" s="347"/>
      <c r="AW18" s="347"/>
      <c r="AX18" s="347"/>
      <c r="AY18" s="82"/>
      <c r="AZ18" s="82"/>
      <c r="BA18" s="220" t="str">
        <f>Språk!E57</f>
        <v>ألسرعة</v>
      </c>
      <c r="BB18" s="220"/>
      <c r="BC18" s="220"/>
      <c r="BD18" s="220"/>
      <c r="BE18" s="220"/>
      <c r="BF18" s="89"/>
    </row>
    <row r="19" spans="1:58" ht="12.75">
      <c r="A19" s="354" t="s">
        <v>194</v>
      </c>
      <c r="B19" s="248"/>
      <c r="C19" s="201"/>
      <c r="D19" s="216"/>
      <c r="E19" s="348"/>
      <c r="F19" s="217"/>
      <c r="G19" s="356" t="str">
        <f>Språk!E36</f>
        <v>مسافة</v>
      </c>
      <c r="H19" s="357"/>
      <c r="I19" s="357"/>
      <c r="J19" s="82"/>
      <c r="K19" s="201"/>
      <c r="L19" s="216"/>
      <c r="M19" s="348"/>
      <c r="N19" s="217"/>
      <c r="O19" s="363" t="str">
        <f>Språk!E44</f>
        <v>عدد الأبواب :</v>
      </c>
      <c r="P19" s="209"/>
      <c r="Q19" s="209"/>
      <c r="R19" s="209"/>
      <c r="S19" s="100"/>
      <c r="T19" s="209" t="s">
        <v>686</v>
      </c>
      <c r="U19" s="209"/>
      <c r="V19" s="209" t="s">
        <v>689</v>
      </c>
      <c r="W19" s="209"/>
      <c r="X19" s="209"/>
      <c r="Y19" s="209"/>
      <c r="Z19" s="82"/>
      <c r="AA19" s="82"/>
      <c r="AB19" s="209" t="s">
        <v>686</v>
      </c>
      <c r="AC19" s="209"/>
      <c r="AD19" s="209" t="s">
        <v>688</v>
      </c>
      <c r="AE19" s="209"/>
      <c r="AF19" s="209"/>
      <c r="AG19" s="209"/>
      <c r="AH19" s="82"/>
      <c r="AI19" s="82"/>
      <c r="AJ19" s="209" t="s">
        <v>686</v>
      </c>
      <c r="AK19" s="209"/>
      <c r="AL19" s="209"/>
      <c r="AM19" s="220" t="s">
        <v>687</v>
      </c>
      <c r="AN19" s="220"/>
      <c r="AO19" s="220"/>
      <c r="AP19" s="220"/>
      <c r="AQ19" s="82"/>
      <c r="AR19" s="82"/>
      <c r="AS19" s="82"/>
      <c r="AT19" s="82"/>
      <c r="AU19" s="82"/>
      <c r="AV19" s="82"/>
      <c r="AW19" s="82"/>
      <c r="AX19" s="209" t="str">
        <f>Språk!E58</f>
        <v>التيار الكهربائي (محرك)</v>
      </c>
      <c r="AY19" s="215"/>
      <c r="AZ19" s="215"/>
      <c r="BA19" s="215"/>
      <c r="BB19" s="215"/>
      <c r="BC19" s="215"/>
      <c r="BD19" s="215"/>
      <c r="BE19" s="215"/>
      <c r="BF19" s="89"/>
    </row>
    <row r="20" spans="1:58" ht="12" customHeight="1">
      <c r="A20" s="101"/>
      <c r="B20" s="88"/>
      <c r="C20" s="361"/>
      <c r="D20" s="361"/>
      <c r="E20" s="361"/>
      <c r="F20" s="361"/>
      <c r="G20" s="102">
        <v>6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100"/>
      <c r="T20" s="88"/>
      <c r="U20" s="320"/>
      <c r="V20" s="321"/>
      <c r="W20" s="321"/>
      <c r="X20" s="322"/>
      <c r="Y20" s="344" t="str">
        <f>Språk!E61</f>
        <v>طابق</v>
      </c>
      <c r="Z20" s="234"/>
      <c r="AA20" s="234"/>
      <c r="AB20" s="234"/>
      <c r="AC20" s="82"/>
      <c r="AD20" s="82"/>
      <c r="AE20" s="209" t="str">
        <f>Språk!E60</f>
        <v>مكان غرفة الماكينة</v>
      </c>
      <c r="AF20" s="209"/>
      <c r="AG20" s="209"/>
      <c r="AH20" s="209"/>
      <c r="AI20" s="209"/>
      <c r="AJ20" s="209"/>
      <c r="AK20" s="82"/>
      <c r="AL20" s="103" t="s">
        <v>690</v>
      </c>
      <c r="AM20" s="228"/>
      <c r="AN20" s="346"/>
      <c r="AO20" s="346"/>
      <c r="AP20" s="346"/>
      <c r="AQ20" s="88"/>
      <c r="AR20" s="209" t="str">
        <f>Språk!E59</f>
        <v>ألمسافة بين ألبئر و غرفة ألماكينة</v>
      </c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89"/>
    </row>
    <row r="21" spans="1:58" ht="12.75">
      <c r="A21" s="354" t="s">
        <v>194</v>
      </c>
      <c r="B21" s="272"/>
      <c r="C21" s="201"/>
      <c r="D21" s="308"/>
      <c r="E21" s="308"/>
      <c r="F21" s="355"/>
      <c r="G21" s="356" t="str">
        <f>Språk!E36</f>
        <v>مسافة</v>
      </c>
      <c r="H21" s="357"/>
      <c r="I21" s="357"/>
      <c r="J21" s="82"/>
      <c r="K21" s="209" t="str">
        <f>Språk!E42</f>
        <v>عدد المداخل للصاعدة:</v>
      </c>
      <c r="L21" s="209"/>
      <c r="M21" s="209"/>
      <c r="N21" s="209"/>
      <c r="O21" s="209"/>
      <c r="P21" s="209"/>
      <c r="Q21" s="209"/>
      <c r="R21" s="82"/>
      <c r="S21" s="100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9"/>
    </row>
    <row r="22" spans="1:58" ht="12.75">
      <c r="A22" s="101"/>
      <c r="B22" s="88"/>
      <c r="C22" s="362"/>
      <c r="D22" s="318"/>
      <c r="E22" s="362"/>
      <c r="F22" s="318"/>
      <c r="G22" s="102">
        <v>5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100"/>
      <c r="T22" s="82"/>
      <c r="U22" s="82"/>
      <c r="V22" s="82"/>
      <c r="W22" s="82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82"/>
      <c r="AW22" s="82"/>
      <c r="AX22" s="82"/>
      <c r="AY22" s="82"/>
      <c r="AZ22" s="82"/>
      <c r="BA22" s="82"/>
      <c r="BB22" s="350" t="str">
        <f>Språk!E62</f>
        <v>أختياري</v>
      </c>
      <c r="BC22" s="350"/>
      <c r="BD22" s="350"/>
      <c r="BE22" s="350"/>
      <c r="BF22" s="89"/>
    </row>
    <row r="23" spans="1:58" ht="12.75">
      <c r="A23" s="354" t="s">
        <v>194</v>
      </c>
      <c r="B23" s="272"/>
      <c r="C23" s="201"/>
      <c r="D23" s="308"/>
      <c r="E23" s="308"/>
      <c r="F23" s="355"/>
      <c r="G23" s="356" t="str">
        <f>Språk!E36</f>
        <v>مسافة</v>
      </c>
      <c r="H23" s="357"/>
      <c r="I23" s="357"/>
      <c r="J23" s="82"/>
      <c r="K23" s="82"/>
      <c r="L23" s="82"/>
      <c r="M23" s="82"/>
      <c r="N23" s="82"/>
      <c r="O23" s="82"/>
      <c r="P23" s="82"/>
      <c r="Q23" s="82"/>
      <c r="R23" s="82"/>
      <c r="S23" s="100"/>
      <c r="T23" s="209" t="str">
        <f>Språk!E66</f>
        <v>مهيأ لتركيب مبرد ألزيت</v>
      </c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104"/>
      <c r="AJ23" s="104"/>
      <c r="AK23" s="104"/>
      <c r="AL23" s="104"/>
      <c r="AM23" s="104"/>
      <c r="AN23" s="104"/>
      <c r="AO23" s="104"/>
      <c r="AP23" s="209" t="str">
        <f>Språk!E63</f>
        <v>سخّان ألزيت مع ترموستات</v>
      </c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82"/>
      <c r="BE23" s="82"/>
      <c r="BF23" s="89"/>
    </row>
    <row r="24" spans="1:58" ht="12.75">
      <c r="A24" s="101"/>
      <c r="B24" s="88"/>
      <c r="C24" s="362"/>
      <c r="D24" s="318"/>
      <c r="E24" s="362"/>
      <c r="F24" s="318"/>
      <c r="G24" s="102">
        <v>4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100"/>
      <c r="T24" s="209" t="str">
        <f>Språk!E67</f>
        <v>ترموستات لتبريد ألزيت</v>
      </c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104"/>
      <c r="AJ24" s="104"/>
      <c r="AK24" s="104"/>
      <c r="AL24" s="104"/>
      <c r="AM24" s="104"/>
      <c r="AN24" s="104"/>
      <c r="AO24" s="104"/>
      <c r="AP24" s="209" t="str">
        <f>Språk!E64</f>
        <v>مؤشر مستوى الزيت - الكتروني</v>
      </c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82"/>
      <c r="BE24" s="82"/>
      <c r="BF24" s="89"/>
    </row>
    <row r="25" spans="1:58" ht="12.75">
      <c r="A25" s="354" t="s">
        <v>194</v>
      </c>
      <c r="B25" s="272"/>
      <c r="C25" s="201"/>
      <c r="D25" s="308"/>
      <c r="E25" s="308"/>
      <c r="F25" s="355"/>
      <c r="G25" s="356" t="str">
        <f>Språk!E36</f>
        <v>مسافة</v>
      </c>
      <c r="H25" s="357"/>
      <c r="I25" s="357"/>
      <c r="J25" s="82"/>
      <c r="K25" s="82"/>
      <c r="L25" s="82"/>
      <c r="M25" s="82"/>
      <c r="N25" s="82"/>
      <c r="O25" s="82"/>
      <c r="P25" s="82"/>
      <c r="Q25" s="82"/>
      <c r="R25" s="82"/>
      <c r="S25" s="344" t="str">
        <f>Språk!E69</f>
        <v>وحدة 20 ل / جالون</v>
      </c>
      <c r="T25" s="234"/>
      <c r="U25" s="234"/>
      <c r="V25" s="234"/>
      <c r="W25" s="234"/>
      <c r="X25" s="234"/>
      <c r="Y25" s="272"/>
      <c r="Z25" s="320"/>
      <c r="AA25" s="321"/>
      <c r="AB25" s="322"/>
      <c r="AC25" s="104"/>
      <c r="AD25" s="209" t="str">
        <f>Språk!E68</f>
        <v>زيت هيدووليك</v>
      </c>
      <c r="AE25" s="209"/>
      <c r="AF25" s="209"/>
      <c r="AG25" s="209"/>
      <c r="AH25" s="209"/>
      <c r="AI25" s="104"/>
      <c r="AJ25" s="104"/>
      <c r="AK25" s="104"/>
      <c r="AL25" s="104"/>
      <c r="AM25" s="104"/>
      <c r="AN25" s="104"/>
      <c r="AO25" s="104"/>
      <c r="AP25" s="209" t="str">
        <f>Språk!E65</f>
        <v>مؤشر مستوى الزيت - مرئي</v>
      </c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82"/>
      <c r="BE25" s="82"/>
      <c r="BF25" s="89"/>
    </row>
    <row r="26" spans="1:58" ht="12.75">
      <c r="A26" s="101"/>
      <c r="B26" s="88"/>
      <c r="C26" s="362"/>
      <c r="D26" s="318"/>
      <c r="E26" s="362"/>
      <c r="F26" s="318"/>
      <c r="G26" s="102">
        <v>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100"/>
      <c r="T26" s="104"/>
      <c r="U26" s="209" t="str">
        <f>Språk!E72</f>
        <v>هاتف Safeline الاتصال الداخلي</v>
      </c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104"/>
      <c r="AJ26" s="104"/>
      <c r="AK26" s="104"/>
      <c r="AL26" s="104"/>
      <c r="AM26" s="104"/>
      <c r="AN26" s="104"/>
      <c r="AO26" s="104"/>
      <c r="AP26" s="209" t="str">
        <f>Språk!E70</f>
        <v>هاتف الإنذار  Safeline SL6 PSTN</v>
      </c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82"/>
      <c r="BE26" s="82"/>
      <c r="BF26" s="89"/>
    </row>
    <row r="27" spans="1:58" ht="12.75">
      <c r="A27" s="354" t="s">
        <v>194</v>
      </c>
      <c r="B27" s="272"/>
      <c r="C27" s="201"/>
      <c r="D27" s="308"/>
      <c r="E27" s="308"/>
      <c r="F27" s="355"/>
      <c r="G27" s="356" t="str">
        <f>Språk!E36</f>
        <v>مسافة</v>
      </c>
      <c r="H27" s="357"/>
      <c r="I27" s="364"/>
      <c r="J27" s="201"/>
      <c r="K27" s="308"/>
      <c r="L27" s="308"/>
      <c r="M27" s="355"/>
      <c r="N27" s="82"/>
      <c r="O27" s="209" t="str">
        <f>Språk!E35</f>
        <v>رأس ألبئر:</v>
      </c>
      <c r="P27" s="209"/>
      <c r="Q27" s="209"/>
      <c r="R27" s="210"/>
      <c r="S27" s="100"/>
      <c r="T27" s="104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104"/>
      <c r="AJ27" s="104"/>
      <c r="AK27" s="104"/>
      <c r="AL27" s="104"/>
      <c r="AM27" s="209" t="str">
        <f>Språk!E71</f>
        <v>هاتف الإنذار  Safeline SL6 GSM</v>
      </c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82"/>
      <c r="BE27" s="82"/>
      <c r="BF27" s="89"/>
    </row>
    <row r="28" spans="1:58" ht="12.75">
      <c r="A28" s="101"/>
      <c r="B28" s="105"/>
      <c r="C28" s="362"/>
      <c r="D28" s="318"/>
      <c r="E28" s="362"/>
      <c r="F28" s="318"/>
      <c r="G28" s="106">
        <v>2</v>
      </c>
      <c r="H28" s="104"/>
      <c r="I28" s="104"/>
      <c r="J28" s="201"/>
      <c r="K28" s="308"/>
      <c r="L28" s="308"/>
      <c r="M28" s="355"/>
      <c r="N28" s="363" t="str">
        <f>Språk!E37</f>
        <v>مشوار الصاعدة :</v>
      </c>
      <c r="O28" s="209"/>
      <c r="P28" s="209"/>
      <c r="Q28" s="209"/>
      <c r="R28" s="210"/>
      <c r="S28" s="107"/>
      <c r="T28" s="104"/>
      <c r="U28" s="209" t="str">
        <f>Språk!E74</f>
        <v>لوحة تحكّم منفصلة</v>
      </c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104"/>
      <c r="AJ28" s="104"/>
      <c r="AK28" s="104"/>
      <c r="AL28" s="104"/>
      <c r="AM28" s="209" t="str">
        <f>Språk!E73</f>
        <v>كابلات خالية من الهالوجين</v>
      </c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82"/>
      <c r="BE28" s="82"/>
      <c r="BF28" s="89"/>
    </row>
    <row r="29" spans="1:58" ht="12.75">
      <c r="A29" s="354" t="s">
        <v>194</v>
      </c>
      <c r="B29" s="272"/>
      <c r="C29" s="201"/>
      <c r="D29" s="308"/>
      <c r="E29" s="308"/>
      <c r="F29" s="355"/>
      <c r="G29" s="356" t="s">
        <v>205</v>
      </c>
      <c r="H29" s="357"/>
      <c r="I29" s="364"/>
      <c r="J29" s="201"/>
      <c r="K29" s="308"/>
      <c r="L29" s="308"/>
      <c r="M29" s="355"/>
      <c r="N29" s="82"/>
      <c r="O29" s="209" t="str">
        <f>Språk!E38</f>
        <v>حفرة:</v>
      </c>
      <c r="P29" s="209"/>
      <c r="Q29" s="209"/>
      <c r="R29" s="210"/>
      <c r="S29" s="107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9"/>
    </row>
    <row r="30" spans="1:58" ht="12.75">
      <c r="A30" s="101"/>
      <c r="B30" s="105"/>
      <c r="C30" s="362"/>
      <c r="D30" s="318"/>
      <c r="E30" s="362"/>
      <c r="F30" s="318"/>
      <c r="G30" s="106">
        <v>1</v>
      </c>
      <c r="H30" s="104"/>
      <c r="I30" s="104"/>
      <c r="J30" s="316">
        <f>J27+J28+J29</f>
        <v>0</v>
      </c>
      <c r="K30" s="317"/>
      <c r="L30" s="317"/>
      <c r="M30" s="393"/>
      <c r="N30" s="82"/>
      <c r="O30" s="209" t="str">
        <f>Språk!E39</f>
        <v>إرتفاع ألبئر</v>
      </c>
      <c r="P30" s="209"/>
      <c r="Q30" s="209"/>
      <c r="R30" s="210"/>
      <c r="S30" s="107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279" t="str">
        <f>Språk!E75</f>
        <v> ألقيادة/ألتحكم</v>
      </c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108"/>
    </row>
    <row r="31" spans="1:58" ht="3.75" customHeight="1">
      <c r="A31" s="109"/>
      <c r="B31" s="110"/>
      <c r="C31" s="91"/>
      <c r="D31" s="91"/>
      <c r="E31" s="91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07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11"/>
      <c r="AU31" s="111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89"/>
    </row>
    <row r="32" spans="1:58" s="119" customFormat="1" ht="12" customHeight="1">
      <c r="A32" s="113"/>
      <c r="B32" s="394" t="str">
        <f>Språk!E79</f>
        <v>صعود / هبوط جماعي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114"/>
      <c r="N32" s="115"/>
      <c r="O32" s="115"/>
      <c r="P32" s="115"/>
      <c r="Q32" s="115"/>
      <c r="R32" s="115"/>
      <c r="S32" s="209" t="str">
        <f>Språk!E78</f>
        <v> هبوط جماعي</v>
      </c>
      <c r="T32" s="246"/>
      <c r="U32" s="246"/>
      <c r="V32" s="246"/>
      <c r="W32" s="246"/>
      <c r="X32" s="246"/>
      <c r="Y32" s="115"/>
      <c r="Z32" s="115"/>
      <c r="AA32" s="115"/>
      <c r="AB32" s="215" t="str">
        <f>Språk!E77</f>
        <v>مباشر</v>
      </c>
      <c r="AC32" s="235"/>
      <c r="AD32" s="235"/>
      <c r="AE32" s="235"/>
      <c r="AF32" s="235"/>
      <c r="AG32" s="235"/>
      <c r="AH32" s="23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7"/>
      <c r="AU32" s="117"/>
      <c r="AV32" s="117"/>
      <c r="AW32" s="117"/>
      <c r="AX32" s="117"/>
      <c r="AY32" s="209" t="str">
        <f>Språk!E76</f>
        <v>نظام التحكم</v>
      </c>
      <c r="AZ32" s="246"/>
      <c r="BA32" s="246"/>
      <c r="BB32" s="246"/>
      <c r="BC32" s="246"/>
      <c r="BD32" s="246"/>
      <c r="BE32" s="246"/>
      <c r="BF32" s="118"/>
    </row>
    <row r="33" spans="1:58" ht="12" customHeight="1">
      <c r="A33" s="101"/>
      <c r="B33" s="215" t="str">
        <f>Språk!E84</f>
        <v> أسهم + شاشة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104"/>
      <c r="N33" s="104"/>
      <c r="O33" s="104"/>
      <c r="P33" s="104"/>
      <c r="Q33" s="104"/>
      <c r="R33" s="104"/>
      <c r="S33" s="209" t="str">
        <f>Språk!E83</f>
        <v>شاشة</v>
      </c>
      <c r="T33" s="246"/>
      <c r="U33" s="246"/>
      <c r="V33" s="246"/>
      <c r="W33" s="246"/>
      <c r="X33" s="246"/>
      <c r="Y33" s="104"/>
      <c r="Z33" s="104"/>
      <c r="AA33" s="104"/>
      <c r="AB33" s="215" t="str">
        <f>Språk!E82</f>
        <v>أسهم</v>
      </c>
      <c r="AC33" s="235"/>
      <c r="AD33" s="235"/>
      <c r="AE33" s="235"/>
      <c r="AF33" s="235"/>
      <c r="AG33" s="235"/>
      <c r="AH33" s="235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11"/>
      <c r="AU33" s="111"/>
      <c r="AV33" s="112"/>
      <c r="AW33" s="112"/>
      <c r="AX33" s="112"/>
      <c r="AY33" s="209" t="str">
        <f>Språk!E80</f>
        <v>إشارة الطابق الرئيسي</v>
      </c>
      <c r="AZ33" s="246"/>
      <c r="BA33" s="246"/>
      <c r="BB33" s="246"/>
      <c r="BC33" s="246"/>
      <c r="BD33" s="246"/>
      <c r="BE33" s="246"/>
      <c r="BF33" s="89"/>
    </row>
    <row r="34" spans="1:58" ht="11.25" customHeight="1">
      <c r="A34" s="101"/>
      <c r="B34" s="215" t="str">
        <f>Språk!E84</f>
        <v> أسهم + شاشة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104"/>
      <c r="N34" s="104"/>
      <c r="O34" s="104"/>
      <c r="P34" s="104"/>
      <c r="Q34" s="104"/>
      <c r="R34" s="104"/>
      <c r="S34" s="209" t="str">
        <f>Språk!E83</f>
        <v>شاشة</v>
      </c>
      <c r="T34" s="246"/>
      <c r="U34" s="246"/>
      <c r="V34" s="246"/>
      <c r="W34" s="246"/>
      <c r="X34" s="246"/>
      <c r="Y34" s="82"/>
      <c r="Z34" s="104"/>
      <c r="AA34" s="104"/>
      <c r="AB34" s="215" t="str">
        <f>Språk!E82</f>
        <v>أسهم</v>
      </c>
      <c r="AC34" s="235"/>
      <c r="AD34" s="235"/>
      <c r="AE34" s="235"/>
      <c r="AF34" s="235"/>
      <c r="AG34" s="235"/>
      <c r="AH34" s="235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82"/>
      <c r="AW34" s="209" t="str">
        <f>Språk!E81</f>
        <v>إشارة الطوابق الأخرى</v>
      </c>
      <c r="AX34" s="246"/>
      <c r="AY34" s="246"/>
      <c r="AZ34" s="246"/>
      <c r="BA34" s="246"/>
      <c r="BB34" s="246"/>
      <c r="BC34" s="246"/>
      <c r="BD34" s="235"/>
      <c r="BE34" s="235"/>
      <c r="BF34" s="89"/>
    </row>
    <row r="35" spans="1:58" ht="12" customHeight="1">
      <c r="A35" s="101"/>
      <c r="B35" s="209" t="str">
        <f>Språk!E90</f>
        <v>أولوية الاتصال (مستشفى)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104"/>
      <c r="N35" s="104"/>
      <c r="O35" s="104"/>
      <c r="P35" s="104"/>
      <c r="Q35" s="104"/>
      <c r="R35" s="104"/>
      <c r="S35" s="209" t="str">
        <f>Språk!E89</f>
        <v>مفتاح التنظيف</v>
      </c>
      <c r="T35" s="246"/>
      <c r="U35" s="246"/>
      <c r="V35" s="246"/>
      <c r="W35" s="246"/>
      <c r="X35" s="246"/>
      <c r="Y35" s="104"/>
      <c r="Z35" s="104"/>
      <c r="AA35" s="104"/>
      <c r="AB35" s="209" t="str">
        <f>Språk!E85</f>
        <v>زر اغلاق ألباب</v>
      </c>
      <c r="AC35" s="246"/>
      <c r="AD35" s="246"/>
      <c r="AE35" s="246"/>
      <c r="AF35" s="246"/>
      <c r="AG35" s="246"/>
      <c r="AH35" s="246"/>
      <c r="AI35" s="104"/>
      <c r="AJ35" s="104"/>
      <c r="AK35" s="104"/>
      <c r="AL35" s="104"/>
      <c r="AM35" s="209" t="str">
        <f>Språk!E87</f>
        <v>موقت (ضوء ألكبينة)</v>
      </c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82"/>
      <c r="AY35" s="82"/>
      <c r="AZ35" s="82"/>
      <c r="BA35" s="215" t="str">
        <f>Språk!E62</f>
        <v>أختياري</v>
      </c>
      <c r="BB35" s="235"/>
      <c r="BC35" s="235"/>
      <c r="BD35" s="235"/>
      <c r="BE35" s="235"/>
      <c r="BF35" s="89"/>
    </row>
    <row r="36" spans="1:67" ht="15" customHeight="1">
      <c r="A36" s="120"/>
      <c r="B36" s="110"/>
      <c r="C36" s="327" t="str">
        <f>Språk!E88</f>
        <v>إشارة ضوئية  احمر/اخضر (مصعد السيارة)</v>
      </c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110"/>
      <c r="Z36" s="110"/>
      <c r="AA36" s="110"/>
      <c r="AB36" s="110"/>
      <c r="AC36" s="110"/>
      <c r="AD36" s="110"/>
      <c r="AE36" s="110"/>
      <c r="AF36" s="110"/>
      <c r="AG36" s="110"/>
      <c r="AH36" s="327" t="str">
        <f>Språk!E86</f>
        <v>لوحة أزرار اضافية (مصعد السيارة)</v>
      </c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91"/>
      <c r="AY36" s="91"/>
      <c r="AZ36" s="82"/>
      <c r="BA36" s="82"/>
      <c r="BB36" s="82"/>
      <c r="BC36" s="82"/>
      <c r="BD36" s="82"/>
      <c r="BE36" s="82"/>
      <c r="BF36" s="89"/>
      <c r="BI36" s="396" t="str">
        <f>Språk!E153</f>
        <v>جدران ألكبينة و أبواب ألكبينة و ألطوابق  RAL</v>
      </c>
      <c r="BJ36" s="396"/>
      <c r="BK36" s="396"/>
      <c r="BL36" s="396"/>
      <c r="BM36" s="396"/>
      <c r="BN36" s="396"/>
      <c r="BO36" s="396"/>
    </row>
    <row r="37" spans="1:67" ht="16.5">
      <c r="A37" s="249" t="str">
        <f>Språk!E91</f>
        <v>أبواب أوتوماتيكية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358"/>
      <c r="BE37" s="358"/>
      <c r="BF37" s="359"/>
      <c r="BI37" s="396"/>
      <c r="BJ37" s="396"/>
      <c r="BK37" s="396"/>
      <c r="BL37" s="396"/>
      <c r="BM37" s="396"/>
      <c r="BN37" s="396"/>
      <c r="BO37" s="396"/>
    </row>
    <row r="38" spans="1:68" ht="5.25" customHeight="1">
      <c r="A38" s="125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04"/>
      <c r="AX38" s="104"/>
      <c r="AY38" s="104"/>
      <c r="AZ38" s="104"/>
      <c r="BA38" s="104"/>
      <c r="BB38" s="104"/>
      <c r="BC38" s="104"/>
      <c r="BD38" s="104"/>
      <c r="BE38" s="104"/>
      <c r="BF38" s="127"/>
      <c r="BG38" s="101"/>
      <c r="BH38" s="104"/>
      <c r="BI38" s="104"/>
      <c r="BJ38" s="104"/>
      <c r="BK38" s="104"/>
      <c r="BL38" s="104"/>
      <c r="BM38" s="104"/>
      <c r="BN38" s="104"/>
      <c r="BO38" s="104"/>
      <c r="BP38" s="104"/>
    </row>
    <row r="39" spans="1:68" ht="12" customHeight="1">
      <c r="A39" s="329"/>
      <c r="B39" s="330"/>
      <c r="C39" s="330"/>
      <c r="D39" s="330"/>
      <c r="E39" s="331"/>
      <c r="F39" s="331"/>
      <c r="G39" s="331"/>
      <c r="H39" s="331"/>
      <c r="I39" s="234" t="str">
        <f>Språk!E95</f>
        <v>آخر ( رمز)</v>
      </c>
      <c r="J39" s="237"/>
      <c r="K39" s="237"/>
      <c r="L39" s="235"/>
      <c r="M39" s="104"/>
      <c r="N39" s="104"/>
      <c r="O39" s="104"/>
      <c r="P39" s="104"/>
      <c r="Q39" s="104"/>
      <c r="R39" s="111" t="s">
        <v>774</v>
      </c>
      <c r="S39" s="104"/>
      <c r="T39" s="104"/>
      <c r="U39" s="104"/>
      <c r="V39" s="209" t="s">
        <v>773</v>
      </c>
      <c r="W39" s="336"/>
      <c r="X39" s="336"/>
      <c r="Y39" s="336"/>
      <c r="Z39" s="336"/>
      <c r="AA39" s="336"/>
      <c r="AB39" s="336"/>
      <c r="AC39" s="104"/>
      <c r="AD39" s="104"/>
      <c r="AE39" s="104"/>
      <c r="AF39" s="234" t="s">
        <v>772</v>
      </c>
      <c r="AG39" s="345"/>
      <c r="AH39" s="345"/>
      <c r="AI39" s="345"/>
      <c r="AJ39" s="345"/>
      <c r="AK39" s="345"/>
      <c r="AL39" s="345"/>
      <c r="AM39" s="345"/>
      <c r="AN39" s="104"/>
      <c r="AO39" s="209" t="s">
        <v>771</v>
      </c>
      <c r="AP39" s="240"/>
      <c r="AQ39" s="240"/>
      <c r="AR39" s="240"/>
      <c r="AS39" s="240"/>
      <c r="AT39" s="240"/>
      <c r="AU39" s="104"/>
      <c r="AV39" s="104"/>
      <c r="AW39" s="104"/>
      <c r="AX39" s="104"/>
      <c r="AY39" s="104"/>
      <c r="AZ39" s="209" t="str">
        <f>Språk!E92</f>
        <v>نوع الباب</v>
      </c>
      <c r="BA39" s="246"/>
      <c r="BB39" s="246"/>
      <c r="BC39" s="246"/>
      <c r="BD39" s="246"/>
      <c r="BE39" s="246"/>
      <c r="BF39" s="127"/>
      <c r="BG39" s="101"/>
      <c r="BH39" s="104"/>
      <c r="BI39" s="104"/>
      <c r="BJ39" s="104"/>
      <c r="BK39" s="104"/>
      <c r="BL39" s="104"/>
      <c r="BM39" s="104"/>
      <c r="BN39" s="104"/>
      <c r="BO39" s="104"/>
      <c r="BP39" s="104"/>
    </row>
    <row r="40" spans="1:68" ht="12.75">
      <c r="A40" s="329"/>
      <c r="B40" s="330"/>
      <c r="C40" s="330"/>
      <c r="D40" s="330"/>
      <c r="E40" s="331"/>
      <c r="F40" s="331"/>
      <c r="G40" s="331"/>
      <c r="H40" s="331"/>
      <c r="I40" s="234" t="str">
        <f>Språk!E95</f>
        <v>آخر ( رمز)</v>
      </c>
      <c r="J40" s="237"/>
      <c r="K40" s="237"/>
      <c r="L40" s="235"/>
      <c r="M40" s="104"/>
      <c r="N40" s="104"/>
      <c r="O40" s="104"/>
      <c r="P40" s="111" t="s">
        <v>728</v>
      </c>
      <c r="Q40" s="373">
        <v>1200</v>
      </c>
      <c r="R40" s="246"/>
      <c r="S40" s="235"/>
      <c r="T40" s="104"/>
      <c r="U40" s="104"/>
      <c r="V40" s="104"/>
      <c r="W40" s="104"/>
      <c r="X40" s="104"/>
      <c r="Y40" s="104"/>
      <c r="Z40" s="111" t="s">
        <v>728</v>
      </c>
      <c r="AA40" s="373">
        <v>1000</v>
      </c>
      <c r="AB40" s="246"/>
      <c r="AC40" s="235"/>
      <c r="AD40" s="104"/>
      <c r="AE40" s="104"/>
      <c r="AF40" s="104"/>
      <c r="AG40" s="104"/>
      <c r="AH40" s="104"/>
      <c r="AI40" s="104"/>
      <c r="AJ40" s="111" t="s">
        <v>728</v>
      </c>
      <c r="AK40" s="373">
        <v>900</v>
      </c>
      <c r="AL40" s="246"/>
      <c r="AM40" s="104"/>
      <c r="AN40" s="104"/>
      <c r="AO40" s="104"/>
      <c r="AP40" s="104"/>
      <c r="AQ40" s="111" t="s">
        <v>194</v>
      </c>
      <c r="AR40" s="373">
        <v>800</v>
      </c>
      <c r="AS40" s="246"/>
      <c r="AT40" s="104"/>
      <c r="AU40" s="104"/>
      <c r="AV40" s="104"/>
      <c r="AW40" s="104"/>
      <c r="AX40" s="104"/>
      <c r="AY40" s="104"/>
      <c r="AZ40" s="209" t="str">
        <f>Språk!E93</f>
        <v>عرض الباب</v>
      </c>
      <c r="BA40" s="246"/>
      <c r="BB40" s="246"/>
      <c r="BC40" s="246"/>
      <c r="BD40" s="246"/>
      <c r="BE40" s="246"/>
      <c r="BF40" s="127"/>
      <c r="BG40" s="101"/>
      <c r="BH40" s="104"/>
      <c r="BI40" s="104"/>
      <c r="BJ40" s="104"/>
      <c r="BK40" s="104"/>
      <c r="BL40" s="104"/>
      <c r="BM40" s="104"/>
      <c r="BN40" s="104"/>
      <c r="BO40" s="104"/>
      <c r="BP40" s="104"/>
    </row>
    <row r="41" spans="1:68" ht="12.75">
      <c r="A41" s="329"/>
      <c r="B41" s="330"/>
      <c r="C41" s="330"/>
      <c r="D41" s="330"/>
      <c r="E41" s="331"/>
      <c r="F41" s="331"/>
      <c r="G41" s="331"/>
      <c r="H41" s="331"/>
      <c r="I41" s="234" t="str">
        <f>Språk!E95</f>
        <v>آخر ( رمز)</v>
      </c>
      <c r="J41" s="237"/>
      <c r="K41" s="237"/>
      <c r="L41" s="235"/>
      <c r="M41" s="104"/>
      <c r="N41" s="104"/>
      <c r="O41" s="104"/>
      <c r="P41" s="111" t="s">
        <v>194</v>
      </c>
      <c r="Q41" s="365">
        <v>2300</v>
      </c>
      <c r="R41" s="342"/>
      <c r="S41" s="342"/>
      <c r="T41" s="104"/>
      <c r="U41" s="104"/>
      <c r="V41" s="104"/>
      <c r="W41" s="104"/>
      <c r="X41" s="104"/>
      <c r="Y41" s="104"/>
      <c r="Z41" s="111" t="s">
        <v>194</v>
      </c>
      <c r="AA41" s="365">
        <v>2200</v>
      </c>
      <c r="AB41" s="342"/>
      <c r="AC41" s="342"/>
      <c r="AD41" s="104"/>
      <c r="AE41" s="104"/>
      <c r="AF41" s="104"/>
      <c r="AG41" s="104"/>
      <c r="AH41" s="104"/>
      <c r="AI41" s="104"/>
      <c r="AJ41" s="111" t="s">
        <v>194</v>
      </c>
      <c r="AK41" s="365">
        <v>2100</v>
      </c>
      <c r="AL41" s="342"/>
      <c r="AM41" s="342"/>
      <c r="AN41" s="104"/>
      <c r="AO41" s="104"/>
      <c r="AP41" s="104"/>
      <c r="AQ41" s="111" t="s">
        <v>194</v>
      </c>
      <c r="AR41" s="365">
        <v>2000</v>
      </c>
      <c r="AS41" s="342"/>
      <c r="AT41" s="342"/>
      <c r="AU41" s="104"/>
      <c r="AV41" s="104"/>
      <c r="AW41" s="104"/>
      <c r="AX41" s="104"/>
      <c r="AY41" s="104"/>
      <c r="AZ41" s="209" t="str">
        <f>Språk!E94</f>
        <v>ارتفاع الباب</v>
      </c>
      <c r="BA41" s="246"/>
      <c r="BB41" s="246"/>
      <c r="BC41" s="246"/>
      <c r="BD41" s="246"/>
      <c r="BE41" s="246"/>
      <c r="BF41" s="127"/>
      <c r="BG41" s="101"/>
      <c r="BH41" s="104"/>
      <c r="BI41" s="104"/>
      <c r="BJ41" s="104"/>
      <c r="BK41" s="104"/>
      <c r="BL41" s="104"/>
      <c r="BM41" s="104"/>
      <c r="BN41" s="104"/>
      <c r="BO41" s="104"/>
      <c r="BP41" s="104"/>
    </row>
    <row r="42" spans="1:68" ht="1.5" customHeight="1">
      <c r="A42" s="134"/>
      <c r="B42" s="135"/>
      <c r="C42" s="135"/>
      <c r="D42" s="135"/>
      <c r="E42" s="135"/>
      <c r="F42" s="135"/>
      <c r="G42" s="135"/>
      <c r="H42" s="135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27"/>
      <c r="BG42" s="101"/>
      <c r="BH42" s="104"/>
      <c r="BI42" s="104"/>
      <c r="BJ42" s="104"/>
      <c r="BK42" s="104"/>
      <c r="BL42" s="104"/>
      <c r="BM42" s="104"/>
      <c r="BN42" s="104"/>
      <c r="BO42" s="104"/>
      <c r="BP42" s="104"/>
    </row>
    <row r="43" spans="1:68" ht="10.5" customHeight="1">
      <c r="A43" s="343"/>
      <c r="B43" s="236"/>
      <c r="C43" s="236"/>
      <c r="D43" s="236"/>
      <c r="E43" s="297"/>
      <c r="F43" s="297"/>
      <c r="G43" s="297"/>
      <c r="H43" s="297"/>
      <c r="I43" s="234"/>
      <c r="J43" s="237"/>
      <c r="K43" s="237"/>
      <c r="L43" s="235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374" t="str">
        <f>Språk!E96</f>
        <v>باب الصاعدة</v>
      </c>
      <c r="AY43" s="375"/>
      <c r="AZ43" s="375"/>
      <c r="BA43" s="375"/>
      <c r="BB43" s="375"/>
      <c r="BC43" s="375"/>
      <c r="BD43" s="375"/>
      <c r="BE43" s="375"/>
      <c r="BF43" s="376"/>
      <c r="BG43" s="101"/>
      <c r="BH43" s="104"/>
      <c r="BI43" s="104"/>
      <c r="BJ43" s="104"/>
      <c r="BK43" s="104"/>
      <c r="BL43" s="104"/>
      <c r="BM43" s="104"/>
      <c r="BN43" s="104"/>
      <c r="BO43" s="104"/>
      <c r="BP43" s="104"/>
    </row>
    <row r="44" spans="1:68" ht="12" customHeight="1">
      <c r="A44" s="329"/>
      <c r="B44" s="330"/>
      <c r="C44" s="330"/>
      <c r="D44" s="330"/>
      <c r="E44" s="331"/>
      <c r="F44" s="331"/>
      <c r="G44" s="331"/>
      <c r="H44" s="331"/>
      <c r="I44" s="234" t="str">
        <f>Språk!E95</f>
        <v>آخر ( رمز)</v>
      </c>
      <c r="J44" s="237"/>
      <c r="K44" s="237"/>
      <c r="L44" s="235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234" t="s">
        <v>591</v>
      </c>
      <c r="Y44" s="237"/>
      <c r="Z44" s="237"/>
      <c r="AA44" s="237"/>
      <c r="AB44" s="237"/>
      <c r="AC44" s="237"/>
      <c r="AD44" s="104"/>
      <c r="AE44" s="104"/>
      <c r="AF44" s="104"/>
      <c r="AG44" s="104"/>
      <c r="AH44" s="104"/>
      <c r="AI44" s="104"/>
      <c r="AJ44" s="234" t="s">
        <v>590</v>
      </c>
      <c r="AK44" s="237"/>
      <c r="AL44" s="237"/>
      <c r="AM44" s="237"/>
      <c r="AN44" s="237"/>
      <c r="AO44" s="237"/>
      <c r="AP44" s="237"/>
      <c r="AQ44" s="104"/>
      <c r="AR44" s="104"/>
      <c r="AS44" s="104"/>
      <c r="AT44" s="104"/>
      <c r="AU44" s="104"/>
      <c r="AV44" s="104"/>
      <c r="AW44" s="209" t="str">
        <f>Språk!E97</f>
        <v>اختيار ماركة الباب</v>
      </c>
      <c r="AX44" s="246"/>
      <c r="AY44" s="246"/>
      <c r="AZ44" s="246"/>
      <c r="BA44" s="246"/>
      <c r="BB44" s="246"/>
      <c r="BC44" s="246"/>
      <c r="BD44" s="246"/>
      <c r="BE44" s="246"/>
      <c r="BF44" s="127"/>
      <c r="BG44" s="101"/>
      <c r="BH44" s="104"/>
      <c r="BI44" s="104"/>
      <c r="BJ44" s="104"/>
      <c r="BK44" s="104"/>
      <c r="BL44" s="104"/>
      <c r="BM44" s="104"/>
      <c r="BN44" s="104"/>
      <c r="BO44" s="104"/>
      <c r="BP44" s="104"/>
    </row>
    <row r="45" spans="1:68" ht="12" customHeight="1">
      <c r="A45" s="329"/>
      <c r="B45" s="330"/>
      <c r="C45" s="330"/>
      <c r="D45" s="330"/>
      <c r="E45" s="331"/>
      <c r="F45" s="331"/>
      <c r="G45" s="331"/>
      <c r="H45" s="331"/>
      <c r="I45" s="234" t="str">
        <f>Språk!E100</f>
        <v>لون ( رمز)</v>
      </c>
      <c r="J45" s="237"/>
      <c r="K45" s="237"/>
      <c r="L45" s="235"/>
      <c r="M45" s="104"/>
      <c r="N45" s="205" t="s">
        <v>59</v>
      </c>
      <c r="O45" s="236"/>
      <c r="P45" s="236"/>
      <c r="Q45" s="236"/>
      <c r="R45" s="236"/>
      <c r="S45" s="104"/>
      <c r="T45" s="104"/>
      <c r="U45" s="104"/>
      <c r="V45" s="104"/>
      <c r="W45" s="205" t="s">
        <v>593</v>
      </c>
      <c r="X45" s="236"/>
      <c r="Y45" s="236"/>
      <c r="Z45" s="236"/>
      <c r="AA45" s="236"/>
      <c r="AB45" s="236"/>
      <c r="AC45" s="104"/>
      <c r="AD45" s="104"/>
      <c r="AE45" s="104"/>
      <c r="AF45" s="104"/>
      <c r="AG45" s="104"/>
      <c r="AH45" s="104"/>
      <c r="AI45" s="205" t="s">
        <v>592</v>
      </c>
      <c r="AJ45" s="205"/>
      <c r="AK45" s="205"/>
      <c r="AL45" s="205"/>
      <c r="AM45" s="205"/>
      <c r="AN45" s="205"/>
      <c r="AO45" s="104"/>
      <c r="AP45" s="104"/>
      <c r="AQ45" s="104"/>
      <c r="AR45" s="104"/>
      <c r="AS45" s="104"/>
      <c r="AT45" s="104"/>
      <c r="AU45" s="104"/>
      <c r="AV45" s="104"/>
      <c r="AW45" s="209" t="str">
        <f>Språk!E99</f>
        <v> إكْمال باب الصاعدة</v>
      </c>
      <c r="AX45" s="246"/>
      <c r="AY45" s="246"/>
      <c r="AZ45" s="246"/>
      <c r="BA45" s="246"/>
      <c r="BB45" s="246"/>
      <c r="BC45" s="246"/>
      <c r="BD45" s="246"/>
      <c r="BE45" s="246"/>
      <c r="BF45" s="127"/>
      <c r="BG45" s="101"/>
      <c r="BH45" s="104"/>
      <c r="BI45" s="104"/>
      <c r="BJ45" s="104"/>
      <c r="BK45" s="104"/>
      <c r="BL45" s="104"/>
      <c r="BM45" s="104"/>
      <c r="BN45" s="104"/>
      <c r="BO45" s="104"/>
      <c r="BP45" s="104"/>
    </row>
    <row r="46" spans="1:68" ht="16.5">
      <c r="A46" s="101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205"/>
      <c r="O46" s="236"/>
      <c r="P46" s="236"/>
      <c r="Q46" s="236"/>
      <c r="R46" s="236"/>
      <c r="S46" s="104"/>
      <c r="T46" s="104"/>
      <c r="U46" s="104"/>
      <c r="V46" s="104"/>
      <c r="W46" s="104"/>
      <c r="X46" s="205" t="str">
        <f>Språk!E103</f>
        <v>حاجز الكتروني</v>
      </c>
      <c r="Y46" s="205"/>
      <c r="Z46" s="205"/>
      <c r="AA46" s="205"/>
      <c r="AB46" s="205"/>
      <c r="AC46" s="104"/>
      <c r="AD46" s="104"/>
      <c r="AE46" s="104"/>
      <c r="AF46" s="104"/>
      <c r="AG46" s="104"/>
      <c r="AH46" s="104"/>
      <c r="AI46" s="205" t="str">
        <f>Språk!E102</f>
        <v>إعتيادِيّ / ستاندرد</v>
      </c>
      <c r="AJ46" s="205"/>
      <c r="AK46" s="205"/>
      <c r="AL46" s="205"/>
      <c r="AM46" s="205"/>
      <c r="AN46" s="205"/>
      <c r="AO46" s="104"/>
      <c r="AP46" s="104"/>
      <c r="AQ46" s="104"/>
      <c r="AR46" s="104"/>
      <c r="AS46" s="104"/>
      <c r="AT46" s="104"/>
      <c r="AU46" s="104"/>
      <c r="AV46" s="104"/>
      <c r="AW46" s="209" t="str">
        <f>Språk!E101</f>
        <v>خليّة كهروضوئيّة</v>
      </c>
      <c r="AX46" s="246"/>
      <c r="AY46" s="246"/>
      <c r="AZ46" s="246"/>
      <c r="BA46" s="246"/>
      <c r="BB46" s="246"/>
      <c r="BC46" s="246"/>
      <c r="BD46" s="246"/>
      <c r="BE46" s="246"/>
      <c r="BF46" s="127"/>
      <c r="BG46" s="101"/>
      <c r="BH46" s="104"/>
      <c r="BI46" s="104"/>
      <c r="BJ46" s="396" t="str">
        <f>Språk!E154</f>
        <v>جدران ألكبينة و أبواب ألكبينة و ألطوابق </v>
      </c>
      <c r="BK46" s="240"/>
      <c r="BL46" s="240"/>
      <c r="BM46" s="240"/>
      <c r="BN46" s="240"/>
      <c r="BO46" s="240"/>
      <c r="BP46" s="104"/>
    </row>
    <row r="47" spans="1:68" ht="3" customHeight="1">
      <c r="A47" s="101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29"/>
      <c r="AJ47" s="104"/>
      <c r="AK47" s="82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374"/>
      <c r="AY47" s="375"/>
      <c r="AZ47" s="375"/>
      <c r="BA47" s="375"/>
      <c r="BB47" s="375"/>
      <c r="BC47" s="375"/>
      <c r="BD47" s="375"/>
      <c r="BE47" s="375"/>
      <c r="BF47" s="376"/>
      <c r="BG47" s="101"/>
      <c r="BH47" s="104"/>
      <c r="BI47" s="104"/>
      <c r="BJ47" s="104"/>
      <c r="BK47" s="104"/>
      <c r="BL47" s="104"/>
      <c r="BM47" s="104"/>
      <c r="BN47" s="104"/>
      <c r="BO47" s="104"/>
      <c r="BP47" s="104"/>
    </row>
    <row r="48" spans="1:68" ht="12" customHeight="1">
      <c r="A48" s="125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366" t="str">
        <f>Språk!E104</f>
        <v>أبواب الطوابق</v>
      </c>
      <c r="AY48" s="367"/>
      <c r="AZ48" s="367"/>
      <c r="BA48" s="367"/>
      <c r="BB48" s="367"/>
      <c r="BC48" s="367"/>
      <c r="BD48" s="367"/>
      <c r="BE48" s="367"/>
      <c r="BF48" s="368"/>
      <c r="BG48" s="101"/>
      <c r="BH48" s="104"/>
      <c r="BI48" s="396"/>
      <c r="BJ48" s="240"/>
      <c r="BK48" s="240"/>
      <c r="BL48" s="240"/>
      <c r="BM48" s="240"/>
      <c r="BN48" s="240"/>
      <c r="BO48" s="240"/>
      <c r="BP48" s="104"/>
    </row>
    <row r="49" spans="1:58" ht="12.75">
      <c r="A49" s="329"/>
      <c r="B49" s="330"/>
      <c r="C49" s="330"/>
      <c r="D49" s="330"/>
      <c r="E49" s="331"/>
      <c r="F49" s="331"/>
      <c r="G49" s="331"/>
      <c r="H49" s="331"/>
      <c r="I49" s="234" t="str">
        <f>Språk!E95</f>
        <v>آخر ( رمز)</v>
      </c>
      <c r="J49" s="237"/>
      <c r="K49" s="237"/>
      <c r="L49" s="235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234" t="s">
        <v>591</v>
      </c>
      <c r="Y49" s="237"/>
      <c r="Z49" s="237"/>
      <c r="AA49" s="237"/>
      <c r="AB49" s="237"/>
      <c r="AC49" s="237"/>
      <c r="AD49" s="104"/>
      <c r="AE49" s="104"/>
      <c r="AF49" s="104"/>
      <c r="AG49" s="104"/>
      <c r="AH49" s="104"/>
      <c r="AI49" s="129"/>
      <c r="AJ49" s="234" t="s">
        <v>590</v>
      </c>
      <c r="AK49" s="237"/>
      <c r="AL49" s="237"/>
      <c r="AM49" s="237"/>
      <c r="AN49" s="237"/>
      <c r="AO49" s="237"/>
      <c r="AP49" s="237"/>
      <c r="AQ49" s="104"/>
      <c r="AR49" s="104"/>
      <c r="AS49" s="104"/>
      <c r="AT49" s="104"/>
      <c r="AU49" s="104"/>
      <c r="AV49" s="104"/>
      <c r="AW49" s="209" t="str">
        <f>Språk!E105</f>
        <v>ماركة أبواب الطوابق</v>
      </c>
      <c r="AX49" s="246"/>
      <c r="AY49" s="246"/>
      <c r="AZ49" s="246"/>
      <c r="BA49" s="246"/>
      <c r="BB49" s="246"/>
      <c r="BC49" s="246"/>
      <c r="BD49" s="246"/>
      <c r="BE49" s="246"/>
      <c r="BF49" s="127"/>
    </row>
    <row r="50" spans="1:58" ht="12" customHeight="1">
      <c r="A50" s="130"/>
      <c r="B50" s="111" t="s">
        <v>194</v>
      </c>
      <c r="C50" s="228"/>
      <c r="D50" s="229"/>
      <c r="E50" s="229"/>
      <c r="F50" s="341" t="s">
        <v>732</v>
      </c>
      <c r="G50" s="342"/>
      <c r="H50" s="342"/>
      <c r="I50" s="342"/>
      <c r="J50" s="104"/>
      <c r="K50" s="234" t="str">
        <f>Språk!E109</f>
        <v>واجهة كاملة عرض x ارتفاع</v>
      </c>
      <c r="L50" s="248"/>
      <c r="M50" s="248"/>
      <c r="N50" s="248"/>
      <c r="O50" s="248"/>
      <c r="P50" s="248"/>
      <c r="Q50" s="248"/>
      <c r="R50" s="248"/>
      <c r="S50" s="248"/>
      <c r="T50" s="104"/>
      <c r="U50" s="104"/>
      <c r="V50" s="209" t="str">
        <f>Språk!E108</f>
        <v>واجِهَة</v>
      </c>
      <c r="W50" s="246"/>
      <c r="X50" s="246"/>
      <c r="Y50" s="246"/>
      <c r="Z50" s="246"/>
      <c r="AA50" s="246"/>
      <c r="AB50" s="246"/>
      <c r="AC50" s="104"/>
      <c r="AD50" s="104"/>
      <c r="AE50" s="104"/>
      <c r="AF50" s="104"/>
      <c r="AG50" s="209" t="str">
        <f>Språk!E107</f>
        <v>إطار ( إعتيادِيّ / ستاندرد)</v>
      </c>
      <c r="AH50" s="246"/>
      <c r="AI50" s="246"/>
      <c r="AJ50" s="246"/>
      <c r="AK50" s="246"/>
      <c r="AL50" s="246"/>
      <c r="AM50" s="246"/>
      <c r="AN50" s="246"/>
      <c r="AO50" s="246"/>
      <c r="AP50" s="104"/>
      <c r="AQ50" s="104"/>
      <c r="AR50" s="104"/>
      <c r="AS50" s="104"/>
      <c r="AT50" s="104"/>
      <c r="AU50" s="104"/>
      <c r="AV50" s="104"/>
      <c r="AW50" s="209" t="str">
        <f>Språk!E106</f>
        <v> نوع أبواب الطوابق</v>
      </c>
      <c r="AX50" s="246"/>
      <c r="AY50" s="246"/>
      <c r="AZ50" s="246"/>
      <c r="BA50" s="246"/>
      <c r="BB50" s="246"/>
      <c r="BC50" s="246"/>
      <c r="BD50" s="246"/>
      <c r="BE50" s="246"/>
      <c r="BF50" s="127"/>
    </row>
    <row r="51" spans="1:58" ht="12" customHeight="1">
      <c r="A51" s="329"/>
      <c r="B51" s="330"/>
      <c r="C51" s="330"/>
      <c r="D51" s="330"/>
      <c r="E51" s="331"/>
      <c r="F51" s="331"/>
      <c r="G51" s="331"/>
      <c r="H51" s="331"/>
      <c r="I51" s="234" t="str">
        <f>Språk!E100</f>
        <v>لون ( رمز)</v>
      </c>
      <c r="J51" s="237"/>
      <c r="K51" s="237"/>
      <c r="L51" s="235"/>
      <c r="M51" s="104"/>
      <c r="N51" s="205" t="s">
        <v>786</v>
      </c>
      <c r="O51" s="236"/>
      <c r="P51" s="236"/>
      <c r="Q51" s="236"/>
      <c r="R51" s="236"/>
      <c r="S51" s="104"/>
      <c r="T51" s="104"/>
      <c r="U51" s="104"/>
      <c r="V51" s="104"/>
      <c r="W51" s="205" t="str">
        <f>Språk!E122</f>
        <v>صَفيحَةٌ جِلْدِيَّة</v>
      </c>
      <c r="X51" s="236"/>
      <c r="Y51" s="236"/>
      <c r="Z51" s="236"/>
      <c r="AA51" s="236"/>
      <c r="AB51" s="236"/>
      <c r="AC51" s="104"/>
      <c r="AD51" s="104"/>
      <c r="AE51" s="104"/>
      <c r="AF51" s="104"/>
      <c r="AG51" s="104"/>
      <c r="AH51" s="104"/>
      <c r="AI51" s="205" t="str">
        <f>Språk!E151</f>
        <v>ستانلس </v>
      </c>
      <c r="AJ51" s="205"/>
      <c r="AK51" s="205"/>
      <c r="AL51" s="205"/>
      <c r="AM51" s="205"/>
      <c r="AN51" s="205"/>
      <c r="AO51" s="131"/>
      <c r="AP51" s="104"/>
      <c r="AQ51" s="104"/>
      <c r="AR51" s="104"/>
      <c r="AS51" s="104"/>
      <c r="AT51" s="104"/>
      <c r="AU51" s="104"/>
      <c r="AV51" s="104"/>
      <c r="AW51" s="209" t="str">
        <f>Språk!E110</f>
        <v> إكْمال أبواب الطوابق</v>
      </c>
      <c r="AX51" s="246"/>
      <c r="AY51" s="246"/>
      <c r="AZ51" s="246"/>
      <c r="BA51" s="246"/>
      <c r="BB51" s="246"/>
      <c r="BC51" s="246"/>
      <c r="BD51" s="246"/>
      <c r="BE51" s="246"/>
      <c r="BF51" s="127"/>
    </row>
    <row r="52" spans="1:58" ht="12" customHeight="1">
      <c r="A52" s="329"/>
      <c r="B52" s="330"/>
      <c r="C52" s="330"/>
      <c r="D52" s="330"/>
      <c r="E52" s="331"/>
      <c r="F52" s="331"/>
      <c r="G52" s="331"/>
      <c r="H52" s="331"/>
      <c r="I52" s="234" t="str">
        <f>Språk!E95</f>
        <v>آخر ( رمز)</v>
      </c>
      <c r="J52" s="237"/>
      <c r="K52" s="237"/>
      <c r="L52" s="235"/>
      <c r="M52" s="104"/>
      <c r="N52" s="104"/>
      <c r="O52" s="234" t="s">
        <v>604</v>
      </c>
      <c r="P52" s="237"/>
      <c r="Q52" s="237"/>
      <c r="R52" s="237"/>
      <c r="S52" s="104"/>
      <c r="T52" s="104"/>
      <c r="U52" s="104"/>
      <c r="V52" s="104"/>
      <c r="W52" s="104"/>
      <c r="X52" s="104"/>
      <c r="Y52" s="234" t="s">
        <v>603</v>
      </c>
      <c r="Z52" s="237"/>
      <c r="AA52" s="237"/>
      <c r="AB52" s="237"/>
      <c r="AC52" s="104"/>
      <c r="AD52" s="104"/>
      <c r="AE52" s="104"/>
      <c r="AF52" s="104"/>
      <c r="AG52" s="104"/>
      <c r="AH52" s="234" t="s">
        <v>602</v>
      </c>
      <c r="AI52" s="237"/>
      <c r="AJ52" s="237"/>
      <c r="AK52" s="104"/>
      <c r="AL52" s="104"/>
      <c r="AM52" s="104"/>
      <c r="AN52" s="209" t="str">
        <f>Språk!E113</f>
        <v>لا</v>
      </c>
      <c r="AO52" s="246"/>
      <c r="AP52" s="104"/>
      <c r="AQ52" s="104"/>
      <c r="AR52" s="104"/>
      <c r="AS52" s="104"/>
      <c r="AT52" s="104"/>
      <c r="AU52" s="104"/>
      <c r="AV52" s="104"/>
      <c r="AW52" s="209" t="str">
        <f>Språk!E111</f>
        <v>مِعْيَارُ مقاومةِ الحريق</v>
      </c>
      <c r="AX52" s="246"/>
      <c r="AY52" s="246"/>
      <c r="AZ52" s="246"/>
      <c r="BA52" s="246"/>
      <c r="BB52" s="246"/>
      <c r="BC52" s="246"/>
      <c r="BD52" s="246"/>
      <c r="BE52" s="246"/>
      <c r="BF52" s="127"/>
    </row>
    <row r="53" spans="1:58" ht="12" customHeight="1">
      <c r="A53" s="101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209" t="str">
        <f>Språk!E112</f>
        <v>نعم</v>
      </c>
      <c r="Z53" s="246"/>
      <c r="AA53" s="246"/>
      <c r="AB53" s="246"/>
      <c r="AC53" s="104"/>
      <c r="AD53" s="104"/>
      <c r="AE53" s="104"/>
      <c r="AF53" s="104"/>
      <c r="AG53" s="104"/>
      <c r="AH53" s="104"/>
      <c r="AI53" s="131"/>
      <c r="AJ53" s="104"/>
      <c r="AK53" s="104"/>
      <c r="AL53" s="209" t="str">
        <f>Språk!E113</f>
        <v>لا</v>
      </c>
      <c r="AM53" s="246"/>
      <c r="AN53" s="246"/>
      <c r="AO53" s="246"/>
      <c r="AP53" s="104"/>
      <c r="AQ53" s="104"/>
      <c r="AR53" s="104"/>
      <c r="AS53" s="104"/>
      <c r="AT53" s="104"/>
      <c r="AU53" s="104"/>
      <c r="AV53" s="104"/>
      <c r="AW53" s="209" t="str">
        <f>Språk!E114</f>
        <v>الواح تغطية جانبية</v>
      </c>
      <c r="AX53" s="246"/>
      <c r="AY53" s="246"/>
      <c r="AZ53" s="246"/>
      <c r="BA53" s="246"/>
      <c r="BB53" s="246"/>
      <c r="BC53" s="246"/>
      <c r="BD53" s="246"/>
      <c r="BE53" s="246"/>
      <c r="BF53" s="127"/>
    </row>
    <row r="54" spans="1:58" ht="5.25" customHeight="1">
      <c r="A54" s="125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27"/>
    </row>
    <row r="55" spans="1:58" ht="12.75">
      <c r="A55" s="249" t="str">
        <f>Språk!E115</f>
        <v>الصاعدة / الكبينة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358"/>
      <c r="BE55" s="358"/>
      <c r="BF55" s="359"/>
    </row>
    <row r="56" spans="1:58" ht="5.25" customHeight="1">
      <c r="A56" s="10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27"/>
    </row>
    <row r="57" spans="1:58" ht="12" customHeight="1">
      <c r="A57" s="101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11" t="s">
        <v>194</v>
      </c>
      <c r="N57" s="228"/>
      <c r="O57" s="229"/>
      <c r="P57" s="229"/>
      <c r="Q57" s="229"/>
      <c r="R57" s="220" t="str">
        <f>Språk!E119</f>
        <v>ارتفاع </v>
      </c>
      <c r="S57" s="332"/>
      <c r="T57" s="332"/>
      <c r="U57" s="104"/>
      <c r="V57" s="104"/>
      <c r="W57" s="104"/>
      <c r="X57" s="104"/>
      <c r="Y57" s="104"/>
      <c r="Z57" s="131"/>
      <c r="AA57" s="111" t="s">
        <v>194</v>
      </c>
      <c r="AB57" s="228"/>
      <c r="AC57" s="229"/>
      <c r="AD57" s="229"/>
      <c r="AE57" s="229"/>
      <c r="AF57" s="220" t="str">
        <f>Språk!E118</f>
        <v>عمق</v>
      </c>
      <c r="AG57" s="332"/>
      <c r="AH57" s="332"/>
      <c r="AI57" s="131"/>
      <c r="AJ57" s="104"/>
      <c r="AK57" s="104"/>
      <c r="AL57" s="104"/>
      <c r="AM57" s="104"/>
      <c r="AN57" s="111" t="s">
        <v>194</v>
      </c>
      <c r="AO57" s="228"/>
      <c r="AP57" s="229"/>
      <c r="AQ57" s="229"/>
      <c r="AR57" s="229"/>
      <c r="AS57" s="220" t="str">
        <f>Språk!E117</f>
        <v>عرض</v>
      </c>
      <c r="AT57" s="332"/>
      <c r="AU57" s="332"/>
      <c r="AV57" s="104"/>
      <c r="AW57" s="104"/>
      <c r="AX57" s="104"/>
      <c r="AY57" s="104"/>
      <c r="AZ57" s="104"/>
      <c r="BA57" s="215" t="str">
        <f>Språk!E116</f>
        <v>قِيَاس ألكبينة</v>
      </c>
      <c r="BB57" s="240"/>
      <c r="BC57" s="240"/>
      <c r="BD57" s="240"/>
      <c r="BE57" s="240"/>
      <c r="BF57" s="127"/>
    </row>
    <row r="58" spans="1:58" ht="8.25" customHeight="1">
      <c r="A58" s="101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31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27"/>
    </row>
    <row r="59" spans="1:58" ht="12" customHeight="1">
      <c r="A59" s="329"/>
      <c r="B59" s="330"/>
      <c r="C59" s="330"/>
      <c r="D59" s="330"/>
      <c r="E59" s="331"/>
      <c r="F59" s="331"/>
      <c r="G59" s="331"/>
      <c r="H59" s="331"/>
      <c r="I59" s="209" t="str">
        <f>Språk!E100</f>
        <v>لون ( رمز)</v>
      </c>
      <c r="J59" s="336"/>
      <c r="K59" s="336"/>
      <c r="L59" s="336"/>
      <c r="M59" s="104"/>
      <c r="N59" s="205" t="str">
        <f>Språk!E122</f>
        <v>صَفيحَةٌ جِلْدِيَّة</v>
      </c>
      <c r="O59" s="205"/>
      <c r="P59" s="205"/>
      <c r="Q59" s="205"/>
      <c r="R59" s="205"/>
      <c r="S59" s="205"/>
      <c r="T59" s="104"/>
      <c r="U59" s="104"/>
      <c r="V59" s="205" t="str">
        <f>Språk!E121</f>
        <v>صفائح رقيقة</v>
      </c>
      <c r="W59" s="236"/>
      <c r="X59" s="236"/>
      <c r="Y59" s="236"/>
      <c r="Z59" s="236"/>
      <c r="AA59" s="236"/>
      <c r="AB59" s="236"/>
      <c r="AC59" s="104"/>
      <c r="AD59" s="104"/>
      <c r="AE59" s="104"/>
      <c r="AF59" s="205" t="str">
        <f>Språk!E151</f>
        <v>ستانلس </v>
      </c>
      <c r="AG59" s="236"/>
      <c r="AH59" s="236"/>
      <c r="AI59" s="236"/>
      <c r="AJ59" s="236"/>
      <c r="AK59" s="236"/>
      <c r="AL59" s="236"/>
      <c r="AM59" s="236"/>
      <c r="AN59" s="236"/>
      <c r="AO59" s="236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209" t="str">
        <f>Språk!E120</f>
        <v>جدران الصاعدة </v>
      </c>
      <c r="BB59" s="336"/>
      <c r="BC59" s="336"/>
      <c r="BD59" s="336"/>
      <c r="BE59" s="336"/>
      <c r="BF59" s="127"/>
    </row>
    <row r="60" spans="1:58" ht="12" customHeight="1">
      <c r="A60" s="101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334" t="s">
        <v>679</v>
      </c>
      <c r="Z60" s="335"/>
      <c r="AA60" s="335"/>
      <c r="AB60" s="335"/>
      <c r="AC60" s="104"/>
      <c r="AD60" s="104"/>
      <c r="AE60" s="104"/>
      <c r="AF60" s="104"/>
      <c r="AG60" s="104"/>
      <c r="AH60" s="104"/>
      <c r="AI60" s="131"/>
      <c r="AJ60" s="104"/>
      <c r="AK60" s="104"/>
      <c r="AL60" s="104"/>
      <c r="AM60" s="337" t="s">
        <v>678</v>
      </c>
      <c r="AN60" s="297"/>
      <c r="AO60" s="297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209" t="str">
        <f>Språk!E124</f>
        <v>مرآة</v>
      </c>
      <c r="BB60" s="336"/>
      <c r="BC60" s="336"/>
      <c r="BD60" s="336"/>
      <c r="BE60" s="336"/>
      <c r="BF60" s="127"/>
    </row>
    <row r="61" spans="1:58" ht="12" customHeight="1">
      <c r="A61" s="101"/>
      <c r="B61" s="104"/>
      <c r="C61" s="209" t="str">
        <f>Språk!E127</f>
        <v>الجدار الجانبي جنب لوحة الازرار</v>
      </c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104"/>
      <c r="P61" s="104"/>
      <c r="Q61" s="209" t="str">
        <f>Språk!E126</f>
        <v>الجدار الجانبي مقابل لوحة الازرار</v>
      </c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104"/>
      <c r="AD61" s="104"/>
      <c r="AE61" s="104"/>
      <c r="AF61" s="209" t="str">
        <f>Språk!E125</f>
        <v>الجدار الخلفي</v>
      </c>
      <c r="AG61" s="246"/>
      <c r="AH61" s="246"/>
      <c r="AI61" s="246"/>
      <c r="AJ61" s="246"/>
      <c r="AK61" s="246"/>
      <c r="AL61" s="246"/>
      <c r="AM61" s="246"/>
      <c r="AN61" s="246"/>
      <c r="AO61" s="246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27"/>
    </row>
    <row r="62" spans="1:58" ht="12" customHeight="1">
      <c r="A62" s="101"/>
      <c r="B62" s="104"/>
      <c r="C62" s="209" t="str">
        <f>Språk!E127</f>
        <v>الجدار الجانبي جنب لوحة الازرار</v>
      </c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104"/>
      <c r="P62" s="104"/>
      <c r="Q62" s="209" t="str">
        <f>Språk!E126</f>
        <v>الجدار الجانبي مقابل لوحة الازرار</v>
      </c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104"/>
      <c r="AD62" s="104"/>
      <c r="AE62" s="104"/>
      <c r="AF62" s="209" t="str">
        <f>Språk!E125</f>
        <v>الجدار الخلفي</v>
      </c>
      <c r="AG62" s="246"/>
      <c r="AH62" s="246"/>
      <c r="AI62" s="246"/>
      <c r="AJ62" s="246"/>
      <c r="AK62" s="246"/>
      <c r="AL62" s="246"/>
      <c r="AM62" s="246"/>
      <c r="AN62" s="246"/>
      <c r="AO62" s="246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209" t="str">
        <f>Språk!E128</f>
        <v>جدار زجاجي</v>
      </c>
      <c r="BB62" s="336"/>
      <c r="BC62" s="336"/>
      <c r="BD62" s="336"/>
      <c r="BE62" s="336"/>
      <c r="BF62" s="127"/>
    </row>
    <row r="63" spans="1:58" ht="12" customHeight="1">
      <c r="A63" s="101"/>
      <c r="B63" s="104"/>
      <c r="C63" s="209" t="str">
        <f>Språk!E127</f>
        <v>الجدار الجانبي جنب لوحة الازرار</v>
      </c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104"/>
      <c r="P63" s="104"/>
      <c r="Q63" s="209" t="str">
        <f>Språk!E126</f>
        <v>الجدار الجانبي مقابل لوحة الازرار</v>
      </c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104"/>
      <c r="AD63" s="104"/>
      <c r="AE63" s="104"/>
      <c r="AF63" s="209" t="str">
        <f>Språk!E125</f>
        <v>الجدار الخلفي</v>
      </c>
      <c r="AG63" s="246"/>
      <c r="AH63" s="246"/>
      <c r="AI63" s="246"/>
      <c r="AJ63" s="246"/>
      <c r="AK63" s="246"/>
      <c r="AL63" s="246"/>
      <c r="AM63" s="246"/>
      <c r="AN63" s="246"/>
      <c r="AO63" s="246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209" t="str">
        <f>Språk!E135</f>
        <v>دَرابْزين</v>
      </c>
      <c r="BB63" s="336"/>
      <c r="BC63" s="336"/>
      <c r="BD63" s="336"/>
      <c r="BE63" s="336"/>
      <c r="BF63" s="127"/>
    </row>
    <row r="64" spans="1:58" ht="7.5" customHeight="1">
      <c r="A64" s="101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31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27"/>
    </row>
    <row r="65" spans="1:58" ht="12" customHeight="1">
      <c r="A65" s="329"/>
      <c r="B65" s="330"/>
      <c r="C65" s="330"/>
      <c r="D65" s="330"/>
      <c r="E65" s="331"/>
      <c r="F65" s="331"/>
      <c r="G65" s="331"/>
      <c r="H65" s="220" t="str">
        <f>Språk!E95</f>
        <v>آخر ( رمز)</v>
      </c>
      <c r="I65" s="332"/>
      <c r="J65" s="332"/>
      <c r="K65" s="332"/>
      <c r="L65" s="333"/>
      <c r="M65" s="205" t="str">
        <f>Språk!E139</f>
        <v>حجر</v>
      </c>
      <c r="N65" s="205"/>
      <c r="O65" s="205"/>
      <c r="P65" s="205"/>
      <c r="Q65" s="205"/>
      <c r="R65" s="205"/>
      <c r="S65" s="104"/>
      <c r="T65" s="104"/>
      <c r="U65" s="104"/>
      <c r="V65" s="273" t="str">
        <f>Språk!E138</f>
        <v>مطاط</v>
      </c>
      <c r="W65" s="297"/>
      <c r="X65" s="297"/>
      <c r="Y65" s="297"/>
      <c r="Z65" s="297"/>
      <c r="AA65" s="297"/>
      <c r="AB65" s="297"/>
      <c r="AC65" s="104"/>
      <c r="AD65" s="104"/>
      <c r="AE65" s="104"/>
      <c r="AF65" s="205" t="str">
        <f>Språk!E137</f>
        <v>PVC</v>
      </c>
      <c r="AG65" s="236"/>
      <c r="AH65" s="236"/>
      <c r="AI65" s="236"/>
      <c r="AJ65" s="236"/>
      <c r="AK65" s="236"/>
      <c r="AL65" s="236"/>
      <c r="AM65" s="236"/>
      <c r="AN65" s="236"/>
      <c r="AO65" s="236"/>
      <c r="AP65" s="104"/>
      <c r="AQ65" s="104"/>
      <c r="AR65" s="104"/>
      <c r="AS65" s="104"/>
      <c r="AT65" s="104"/>
      <c r="AU65" s="104"/>
      <c r="AV65" s="104"/>
      <c r="AW65" s="104"/>
      <c r="AX65" s="104"/>
      <c r="AY65" s="209" t="str">
        <f>Språk!E136</f>
        <v> اختيار أرضية الصاعدة</v>
      </c>
      <c r="AZ65" s="240"/>
      <c r="BA65" s="240"/>
      <c r="BB65" s="240"/>
      <c r="BC65" s="240"/>
      <c r="BD65" s="240"/>
      <c r="BE65" s="240"/>
      <c r="BF65" s="127"/>
    </row>
    <row r="66" spans="1:67" ht="12" customHeight="1">
      <c r="A66" s="329"/>
      <c r="B66" s="330"/>
      <c r="C66" s="330"/>
      <c r="D66" s="330"/>
      <c r="E66" s="331"/>
      <c r="F66" s="331"/>
      <c r="G66" s="331"/>
      <c r="H66" s="220" t="str">
        <f>Språk!E95</f>
        <v>آخر ( رمز)</v>
      </c>
      <c r="I66" s="332"/>
      <c r="J66" s="332"/>
      <c r="K66" s="332"/>
      <c r="L66" s="333"/>
      <c r="M66" s="205" t="str">
        <f>Språk!E143</f>
        <v>إضاءة ( السقف )</v>
      </c>
      <c r="N66" s="205"/>
      <c r="O66" s="205"/>
      <c r="P66" s="205"/>
      <c r="Q66" s="205"/>
      <c r="R66" s="205"/>
      <c r="S66" s="104"/>
      <c r="T66" s="104"/>
      <c r="U66" s="104"/>
      <c r="V66" s="205" t="str">
        <f>Språk!E142</f>
        <v>أضواء كاشفة</v>
      </c>
      <c r="W66" s="236"/>
      <c r="X66" s="236"/>
      <c r="Y66" s="236"/>
      <c r="Z66" s="236"/>
      <c r="AA66" s="236"/>
      <c r="AB66" s="236"/>
      <c r="AC66" s="104"/>
      <c r="AD66" s="104"/>
      <c r="AE66" s="104"/>
      <c r="AF66" s="205" t="str">
        <f>Språk!E141</f>
        <v>إعتيادِيّ / ستاندرد</v>
      </c>
      <c r="AG66" s="236"/>
      <c r="AH66" s="236"/>
      <c r="AI66" s="236"/>
      <c r="AJ66" s="236"/>
      <c r="AK66" s="236"/>
      <c r="AL66" s="236"/>
      <c r="AM66" s="236"/>
      <c r="AN66" s="236"/>
      <c r="AO66" s="236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209" t="str">
        <f>Språk!E140</f>
        <v>الإضاءة</v>
      </c>
      <c r="BB66" s="336"/>
      <c r="BC66" s="336"/>
      <c r="BD66" s="336"/>
      <c r="BE66" s="336"/>
      <c r="BF66" s="127"/>
      <c r="BI66" s="396" t="str">
        <f>Språk!E155</f>
        <v> أرضية ألكبينة</v>
      </c>
      <c r="BJ66" s="240"/>
      <c r="BK66" s="240"/>
      <c r="BL66" s="240"/>
      <c r="BM66" s="240"/>
      <c r="BN66" s="240"/>
      <c r="BO66" s="121"/>
    </row>
    <row r="67" spans="1:67" ht="12" customHeight="1">
      <c r="A67" s="329"/>
      <c r="B67" s="330"/>
      <c r="C67" s="330"/>
      <c r="D67" s="330"/>
      <c r="E67" s="331"/>
      <c r="F67" s="331"/>
      <c r="G67" s="331"/>
      <c r="H67" s="220" t="str">
        <f>Språk!E95</f>
        <v>آخر ( رمز)</v>
      </c>
      <c r="I67" s="332"/>
      <c r="J67" s="332"/>
      <c r="K67" s="332"/>
      <c r="L67" s="333"/>
      <c r="M67" s="273"/>
      <c r="N67" s="273"/>
      <c r="O67" s="273"/>
      <c r="P67" s="273"/>
      <c r="Q67" s="273"/>
      <c r="R67" s="273"/>
      <c r="S67" s="104"/>
      <c r="T67" s="104"/>
      <c r="U67" s="104"/>
      <c r="V67" s="205" t="str">
        <f>Språk!E145</f>
        <v>مدمج / مُثَبّت</v>
      </c>
      <c r="W67" s="236"/>
      <c r="X67" s="236"/>
      <c r="Y67" s="236"/>
      <c r="Z67" s="236"/>
      <c r="AA67" s="236"/>
      <c r="AB67" s="236"/>
      <c r="AC67" s="104"/>
      <c r="AD67" s="104"/>
      <c r="AE67" s="104"/>
      <c r="AF67" s="205" t="str">
        <f>Språk!E141</f>
        <v>إعتيادِيّ / ستاندرد</v>
      </c>
      <c r="AG67" s="236"/>
      <c r="AH67" s="236"/>
      <c r="AI67" s="236"/>
      <c r="AJ67" s="236"/>
      <c r="AK67" s="236"/>
      <c r="AL67" s="236"/>
      <c r="AM67" s="236"/>
      <c r="AN67" s="236"/>
      <c r="AO67" s="236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209" t="str">
        <f>Språk!E144</f>
        <v>مقعد قابل للثني</v>
      </c>
      <c r="BB67" s="336"/>
      <c r="BC67" s="336"/>
      <c r="BD67" s="336"/>
      <c r="BE67" s="336"/>
      <c r="BF67" s="127"/>
      <c r="BI67" s="396"/>
      <c r="BJ67" s="240"/>
      <c r="BK67" s="240"/>
      <c r="BL67" s="240"/>
      <c r="BM67" s="240"/>
      <c r="BN67" s="240"/>
      <c r="BO67" s="240"/>
    </row>
    <row r="68" spans="1:58" ht="12" customHeight="1">
      <c r="A68" s="101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205" t="str">
        <f>Språk!E149</f>
        <v> صفوف </v>
      </c>
      <c r="N68" s="205"/>
      <c r="O68" s="205"/>
      <c r="P68" s="205"/>
      <c r="Q68" s="205"/>
      <c r="R68" s="205"/>
      <c r="S68" s="133">
        <v>3</v>
      </c>
      <c r="T68" s="111"/>
      <c r="U68" s="111"/>
      <c r="V68" s="205" t="str">
        <f>Språk!E148</f>
        <v>صفيّن</v>
      </c>
      <c r="W68" s="236"/>
      <c r="X68" s="236"/>
      <c r="Y68" s="236"/>
      <c r="Z68" s="236"/>
      <c r="AA68" s="236"/>
      <c r="AB68" s="236"/>
      <c r="AC68" s="111"/>
      <c r="AD68" s="111"/>
      <c r="AE68" s="111"/>
      <c r="AF68" s="205" t="str">
        <f>Språk!E147</f>
        <v>صف واحد</v>
      </c>
      <c r="AG68" s="236"/>
      <c r="AH68" s="236"/>
      <c r="AI68" s="236"/>
      <c r="AJ68" s="236"/>
      <c r="AK68" s="236"/>
      <c r="AL68" s="236"/>
      <c r="AM68" s="236"/>
      <c r="AN68" s="236"/>
      <c r="AO68" s="236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209" t="str">
        <f>Språk!E146</f>
        <v>مِصَدّ  الصدمات</v>
      </c>
      <c r="BB68" s="336"/>
      <c r="BC68" s="336"/>
      <c r="BD68" s="336"/>
      <c r="BE68" s="336"/>
      <c r="BF68" s="127"/>
    </row>
    <row r="69" spans="1:58" ht="12" customHeight="1">
      <c r="A69" s="101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205"/>
      <c r="N69" s="205"/>
      <c r="O69" s="205"/>
      <c r="P69" s="205"/>
      <c r="Q69" s="205"/>
      <c r="R69" s="205"/>
      <c r="S69" s="104"/>
      <c r="T69" s="104"/>
      <c r="U69" s="104"/>
      <c r="V69" s="205" t="str">
        <f>Språk!E151</f>
        <v>ستانلس </v>
      </c>
      <c r="W69" s="236"/>
      <c r="X69" s="236"/>
      <c r="Y69" s="236"/>
      <c r="Z69" s="236"/>
      <c r="AA69" s="236"/>
      <c r="AB69" s="236"/>
      <c r="AC69" s="104"/>
      <c r="AD69" s="104"/>
      <c r="AE69" s="104"/>
      <c r="AF69" s="205" t="str">
        <f>Språk!E150</f>
        <v>خشب</v>
      </c>
      <c r="AG69" s="236"/>
      <c r="AH69" s="236"/>
      <c r="AI69" s="236"/>
      <c r="AJ69" s="236"/>
      <c r="AK69" s="236"/>
      <c r="AL69" s="236"/>
      <c r="AM69" s="236"/>
      <c r="AN69" s="236"/>
      <c r="AO69" s="236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27"/>
    </row>
    <row r="70" spans="1:58" ht="12" customHeight="1">
      <c r="A70" s="329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330"/>
      <c r="AY70" s="330"/>
      <c r="AZ70" s="330"/>
      <c r="BA70" s="338" t="str">
        <f>Språk!E152</f>
        <v>أضافة</v>
      </c>
      <c r="BB70" s="339"/>
      <c r="BC70" s="339"/>
      <c r="BD70" s="339"/>
      <c r="BE70" s="339"/>
      <c r="BF70" s="340"/>
    </row>
    <row r="71" spans="1:58" ht="11.25" customHeight="1">
      <c r="A71" s="370"/>
      <c r="B71" s="371"/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1"/>
      <c r="R71" s="371"/>
      <c r="S71" s="371"/>
      <c r="T71" s="371"/>
      <c r="U71" s="371"/>
      <c r="V71" s="371"/>
      <c r="W71" s="371"/>
      <c r="X71" s="371"/>
      <c r="Y71" s="371"/>
      <c r="Z71" s="371"/>
      <c r="AA71" s="371"/>
      <c r="AB71" s="371"/>
      <c r="AC71" s="371"/>
      <c r="AD71" s="371"/>
      <c r="AE71" s="371"/>
      <c r="AF71" s="371"/>
      <c r="AG71" s="371"/>
      <c r="AH71" s="371"/>
      <c r="AI71" s="371"/>
      <c r="AJ71" s="371"/>
      <c r="AK71" s="371"/>
      <c r="AL71" s="371"/>
      <c r="AM71" s="371"/>
      <c r="AN71" s="371"/>
      <c r="AO71" s="371"/>
      <c r="AP71" s="371"/>
      <c r="AQ71" s="371"/>
      <c r="AR71" s="371"/>
      <c r="AS71" s="371"/>
      <c r="AT71" s="371"/>
      <c r="AU71" s="371"/>
      <c r="AV71" s="371"/>
      <c r="AW71" s="371"/>
      <c r="AX71" s="371"/>
      <c r="AY71" s="371"/>
      <c r="AZ71" s="371"/>
      <c r="BA71" s="371"/>
      <c r="BB71" s="371"/>
      <c r="BC71" s="371"/>
      <c r="BD71" s="371"/>
      <c r="BE71" s="371"/>
      <c r="BF71" s="372"/>
    </row>
    <row r="72" spans="1:58" ht="12" customHeight="1">
      <c r="A72" s="370"/>
      <c r="B72" s="371"/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371"/>
      <c r="O72" s="371"/>
      <c r="P72" s="371"/>
      <c r="Q72" s="371"/>
      <c r="R72" s="371"/>
      <c r="S72" s="371"/>
      <c r="T72" s="371"/>
      <c r="U72" s="371"/>
      <c r="V72" s="371"/>
      <c r="W72" s="371"/>
      <c r="X72" s="371"/>
      <c r="Y72" s="371"/>
      <c r="Z72" s="371"/>
      <c r="AA72" s="371"/>
      <c r="AB72" s="371"/>
      <c r="AC72" s="371"/>
      <c r="AD72" s="371"/>
      <c r="AE72" s="371"/>
      <c r="AF72" s="371"/>
      <c r="AG72" s="371"/>
      <c r="AH72" s="371"/>
      <c r="AI72" s="371"/>
      <c r="AJ72" s="371"/>
      <c r="AK72" s="371"/>
      <c r="AL72" s="371"/>
      <c r="AM72" s="371"/>
      <c r="AN72" s="371"/>
      <c r="AO72" s="371"/>
      <c r="AP72" s="371"/>
      <c r="AQ72" s="371"/>
      <c r="AR72" s="371"/>
      <c r="AS72" s="371"/>
      <c r="AT72" s="371"/>
      <c r="AU72" s="371"/>
      <c r="AV72" s="371"/>
      <c r="AW72" s="371"/>
      <c r="AX72" s="371"/>
      <c r="AY72" s="371"/>
      <c r="AZ72" s="371"/>
      <c r="BA72" s="371"/>
      <c r="BB72" s="371"/>
      <c r="BC72" s="371"/>
      <c r="BD72" s="371"/>
      <c r="BE72" s="371"/>
      <c r="BF72" s="372"/>
    </row>
    <row r="73" spans="1:58" ht="12" customHeight="1">
      <c r="A73" s="370"/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1"/>
      <c r="R73" s="371"/>
      <c r="S73" s="371"/>
      <c r="T73" s="371"/>
      <c r="U73" s="371"/>
      <c r="V73" s="371"/>
      <c r="W73" s="371"/>
      <c r="X73" s="371"/>
      <c r="Y73" s="371"/>
      <c r="Z73" s="371"/>
      <c r="AA73" s="371"/>
      <c r="AB73" s="371"/>
      <c r="AC73" s="371"/>
      <c r="AD73" s="371"/>
      <c r="AE73" s="371"/>
      <c r="AF73" s="371"/>
      <c r="AG73" s="371"/>
      <c r="AH73" s="371"/>
      <c r="AI73" s="371"/>
      <c r="AJ73" s="371"/>
      <c r="AK73" s="371"/>
      <c r="AL73" s="371"/>
      <c r="AM73" s="371"/>
      <c r="AN73" s="371"/>
      <c r="AO73" s="371"/>
      <c r="AP73" s="371"/>
      <c r="AQ73" s="371"/>
      <c r="AR73" s="371"/>
      <c r="AS73" s="371"/>
      <c r="AT73" s="371"/>
      <c r="AU73" s="371"/>
      <c r="AV73" s="371"/>
      <c r="AW73" s="371"/>
      <c r="AX73" s="371"/>
      <c r="AY73" s="371"/>
      <c r="AZ73" s="371"/>
      <c r="BA73" s="371"/>
      <c r="BB73" s="371"/>
      <c r="BC73" s="371"/>
      <c r="BD73" s="371"/>
      <c r="BE73" s="371"/>
      <c r="BF73" s="372"/>
    </row>
  </sheetData>
  <sheetProtection/>
  <mergeCells count="279">
    <mergeCell ref="BI37:BO37"/>
    <mergeCell ref="BI48:BO48"/>
    <mergeCell ref="BI67:BO67"/>
    <mergeCell ref="BI36:BO36"/>
    <mergeCell ref="BJ46:BO46"/>
    <mergeCell ref="BI66:BN66"/>
    <mergeCell ref="S32:X32"/>
    <mergeCell ref="G21:I21"/>
    <mergeCell ref="E30:F30"/>
    <mergeCell ref="O27:R27"/>
    <mergeCell ref="J30:M30"/>
    <mergeCell ref="B33:L33"/>
    <mergeCell ref="C22:D22"/>
    <mergeCell ref="E22:F22"/>
    <mergeCell ref="B32:L32"/>
    <mergeCell ref="A21:B21"/>
    <mergeCell ref="O18:R18"/>
    <mergeCell ref="K19:N19"/>
    <mergeCell ref="O19:R19"/>
    <mergeCell ref="K21:Q21"/>
    <mergeCell ref="C28:D28"/>
    <mergeCell ref="E28:F28"/>
    <mergeCell ref="G25:I25"/>
    <mergeCell ref="E18:F18"/>
    <mergeCell ref="C23:F23"/>
    <mergeCell ref="C27:F27"/>
    <mergeCell ref="S2:AA2"/>
    <mergeCell ref="AG5:AX5"/>
    <mergeCell ref="AG6:AX6"/>
    <mergeCell ref="C7:N7"/>
    <mergeCell ref="T4:W4"/>
    <mergeCell ref="S6:W6"/>
    <mergeCell ref="C1:G1"/>
    <mergeCell ref="H1:BF1"/>
    <mergeCell ref="AY3:BE3"/>
    <mergeCell ref="AY4:BE4"/>
    <mergeCell ref="AG4:AX4"/>
    <mergeCell ref="AY7:BE7"/>
    <mergeCell ref="AY5:BE5"/>
    <mergeCell ref="AY6:BE6"/>
    <mergeCell ref="C2:G2"/>
    <mergeCell ref="AG3:AX3"/>
    <mergeCell ref="A72:BF72"/>
    <mergeCell ref="AK40:AL40"/>
    <mergeCell ref="AR40:AS40"/>
    <mergeCell ref="AX43:BF43"/>
    <mergeCell ref="AX47:BF47"/>
    <mergeCell ref="A8:BF8"/>
    <mergeCell ref="G29:I29"/>
    <mergeCell ref="A70:AZ70"/>
    <mergeCell ref="AZ40:BE40"/>
    <mergeCell ref="AT30:BE30"/>
    <mergeCell ref="AJ19:AL19"/>
    <mergeCell ref="AT16:AY16"/>
    <mergeCell ref="AJ16:AQ16"/>
    <mergeCell ref="BA16:BE16"/>
    <mergeCell ref="AQ18:AR18"/>
    <mergeCell ref="AP25:BC25"/>
    <mergeCell ref="AM19:AP19"/>
    <mergeCell ref="AP26:BC26"/>
    <mergeCell ref="AR20:BE20"/>
    <mergeCell ref="AM20:AP20"/>
    <mergeCell ref="AG7:AX7"/>
    <mergeCell ref="A73:BF73"/>
    <mergeCell ref="AA41:AC41"/>
    <mergeCell ref="Q41:S41"/>
    <mergeCell ref="Q40:S40"/>
    <mergeCell ref="AA40:AC40"/>
    <mergeCell ref="A71:BF71"/>
    <mergeCell ref="AK41:AM41"/>
    <mergeCell ref="AZ41:BE41"/>
    <mergeCell ref="AW50:BE50"/>
    <mergeCell ref="A40:H40"/>
    <mergeCell ref="I40:L40"/>
    <mergeCell ref="A41:H41"/>
    <mergeCell ref="I41:L41"/>
    <mergeCell ref="AX48:BF48"/>
    <mergeCell ref="AR41:AT41"/>
    <mergeCell ref="A49:H49"/>
    <mergeCell ref="I39:L39"/>
    <mergeCell ref="A55:BF55"/>
    <mergeCell ref="AZ39:BE39"/>
    <mergeCell ref="AW45:BE45"/>
    <mergeCell ref="AW46:BE46"/>
    <mergeCell ref="AW49:BE49"/>
    <mergeCell ref="AW44:BE44"/>
    <mergeCell ref="AW52:BE52"/>
    <mergeCell ref="A39:H39"/>
    <mergeCell ref="AW51:BE51"/>
    <mergeCell ref="S35:X35"/>
    <mergeCell ref="AM35:AW35"/>
    <mergeCell ref="BA35:BE35"/>
    <mergeCell ref="A37:BF37"/>
    <mergeCell ref="AB35:AH35"/>
    <mergeCell ref="AW34:BE34"/>
    <mergeCell ref="B35:L35"/>
    <mergeCell ref="B34:L34"/>
    <mergeCell ref="G19:I19"/>
    <mergeCell ref="G23:I23"/>
    <mergeCell ref="C21:F21"/>
    <mergeCell ref="O29:R29"/>
    <mergeCell ref="J28:M28"/>
    <mergeCell ref="N28:R28"/>
    <mergeCell ref="J29:M29"/>
    <mergeCell ref="G27:I27"/>
    <mergeCell ref="A19:B19"/>
    <mergeCell ref="A23:B23"/>
    <mergeCell ref="C19:F19"/>
    <mergeCell ref="C20:D20"/>
    <mergeCell ref="E20:F20"/>
    <mergeCell ref="C16:D16"/>
    <mergeCell ref="C18:D18"/>
    <mergeCell ref="AZ10:BE10"/>
    <mergeCell ref="AZ11:BE11"/>
    <mergeCell ref="AY12:BE12"/>
    <mergeCell ref="J10:L10"/>
    <mergeCell ref="M10:U10"/>
    <mergeCell ref="M11:U11"/>
    <mergeCell ref="AI10:AM10"/>
    <mergeCell ref="X10:AF10"/>
    <mergeCell ref="AT10:AW10"/>
    <mergeCell ref="AS11:AW11"/>
    <mergeCell ref="A29:B29"/>
    <mergeCell ref="C25:F25"/>
    <mergeCell ref="C24:D24"/>
    <mergeCell ref="E26:F26"/>
    <mergeCell ref="E24:F24"/>
    <mergeCell ref="A25:B25"/>
    <mergeCell ref="A27:B27"/>
    <mergeCell ref="C26:D26"/>
    <mergeCell ref="C29:F29"/>
    <mergeCell ref="O30:R30"/>
    <mergeCell ref="J27:M27"/>
    <mergeCell ref="G17:J17"/>
    <mergeCell ref="S14:BF14"/>
    <mergeCell ref="M12:U12"/>
    <mergeCell ref="A14:R14"/>
    <mergeCell ref="E16:F16"/>
    <mergeCell ref="AQ12:AW12"/>
    <mergeCell ref="AB19:AC19"/>
    <mergeCell ref="C30:D30"/>
    <mergeCell ref="A11:I11"/>
    <mergeCell ref="J11:L11"/>
    <mergeCell ref="A17:B17"/>
    <mergeCell ref="AI12:AM12"/>
    <mergeCell ref="T16:AA16"/>
    <mergeCell ref="C17:F17"/>
    <mergeCell ref="AI11:AM11"/>
    <mergeCell ref="K18:N18"/>
    <mergeCell ref="A10:I10"/>
    <mergeCell ref="AB16:AH16"/>
    <mergeCell ref="BB22:BE22"/>
    <mergeCell ref="AE20:AJ20"/>
    <mergeCell ref="U20:X20"/>
    <mergeCell ref="Y20:AB20"/>
    <mergeCell ref="X11:AF11"/>
    <mergeCell ref="X12:AF12"/>
    <mergeCell ref="V19:Y19"/>
    <mergeCell ref="V18:Z18"/>
    <mergeCell ref="T23:AH23"/>
    <mergeCell ref="AP23:BC23"/>
    <mergeCell ref="BA18:BE18"/>
    <mergeCell ref="AX19:BE19"/>
    <mergeCell ref="T18:U18"/>
    <mergeCell ref="AB18:AI18"/>
    <mergeCell ref="AD19:AG19"/>
    <mergeCell ref="T19:U19"/>
    <mergeCell ref="AS18:AX18"/>
    <mergeCell ref="T24:AH24"/>
    <mergeCell ref="AD25:AH25"/>
    <mergeCell ref="S25:Y25"/>
    <mergeCell ref="Z25:AB25"/>
    <mergeCell ref="AP24:BC24"/>
    <mergeCell ref="AO39:AT39"/>
    <mergeCell ref="AF39:AM39"/>
    <mergeCell ref="V39:AB39"/>
    <mergeCell ref="AY32:BE32"/>
    <mergeCell ref="AY33:BE33"/>
    <mergeCell ref="AB32:AH32"/>
    <mergeCell ref="AB34:AH34"/>
    <mergeCell ref="AM28:BC28"/>
    <mergeCell ref="U26:AH26"/>
    <mergeCell ref="U27:AH27"/>
    <mergeCell ref="U28:AH28"/>
    <mergeCell ref="AM27:BC27"/>
    <mergeCell ref="S33:X33"/>
    <mergeCell ref="S34:X34"/>
    <mergeCell ref="AB33:AH33"/>
    <mergeCell ref="AW53:BE53"/>
    <mergeCell ref="AJ44:AP44"/>
    <mergeCell ref="X44:AC44"/>
    <mergeCell ref="AJ49:AP49"/>
    <mergeCell ref="X49:AC49"/>
    <mergeCell ref="AI45:AN45"/>
    <mergeCell ref="W45:AB45"/>
    <mergeCell ref="AI51:AN51"/>
    <mergeCell ref="W51:AB51"/>
    <mergeCell ref="AL53:AO53"/>
    <mergeCell ref="I49:L49"/>
    <mergeCell ref="A43:H43"/>
    <mergeCell ref="I43:L43"/>
    <mergeCell ref="A45:H45"/>
    <mergeCell ref="I45:L45"/>
    <mergeCell ref="A44:H44"/>
    <mergeCell ref="I44:L44"/>
    <mergeCell ref="Y52:AB52"/>
    <mergeCell ref="O52:R52"/>
    <mergeCell ref="C50:E50"/>
    <mergeCell ref="F50:I50"/>
    <mergeCell ref="A51:H51"/>
    <mergeCell ref="I51:L51"/>
    <mergeCell ref="A52:H52"/>
    <mergeCell ref="I52:L52"/>
    <mergeCell ref="BA70:BF70"/>
    <mergeCell ref="BA57:BE57"/>
    <mergeCell ref="BA59:BE59"/>
    <mergeCell ref="BA60:BE60"/>
    <mergeCell ref="BA62:BE62"/>
    <mergeCell ref="BA63:BE63"/>
    <mergeCell ref="BA67:BE67"/>
    <mergeCell ref="BA68:BE68"/>
    <mergeCell ref="R57:T57"/>
    <mergeCell ref="AM60:AO60"/>
    <mergeCell ref="AF63:AO63"/>
    <mergeCell ref="N51:R51"/>
    <mergeCell ref="Q62:AB62"/>
    <mergeCell ref="AF61:AO61"/>
    <mergeCell ref="Q61:AB61"/>
    <mergeCell ref="Y53:AB53"/>
    <mergeCell ref="AH52:AJ52"/>
    <mergeCell ref="AN52:AO52"/>
    <mergeCell ref="N45:R45"/>
    <mergeCell ref="N57:Q57"/>
    <mergeCell ref="AO57:AR57"/>
    <mergeCell ref="AB57:AE57"/>
    <mergeCell ref="AG50:AO50"/>
    <mergeCell ref="V50:AB50"/>
    <mergeCell ref="K50:S50"/>
    <mergeCell ref="AI46:AN46"/>
    <mergeCell ref="X46:AB46"/>
    <mergeCell ref="N46:R46"/>
    <mergeCell ref="AS57:AU57"/>
    <mergeCell ref="AF57:AH57"/>
    <mergeCell ref="I59:L59"/>
    <mergeCell ref="BA66:BE66"/>
    <mergeCell ref="C62:N62"/>
    <mergeCell ref="AY65:BE65"/>
    <mergeCell ref="AF59:AO59"/>
    <mergeCell ref="V59:AB59"/>
    <mergeCell ref="AF65:AO65"/>
    <mergeCell ref="AF62:AO62"/>
    <mergeCell ref="A59:H59"/>
    <mergeCell ref="N59:S59"/>
    <mergeCell ref="Q63:AB63"/>
    <mergeCell ref="V65:AB65"/>
    <mergeCell ref="M65:R65"/>
    <mergeCell ref="Y60:AB60"/>
    <mergeCell ref="A65:G65"/>
    <mergeCell ref="H65:L65"/>
    <mergeCell ref="C61:N61"/>
    <mergeCell ref="C63:N63"/>
    <mergeCell ref="H66:L66"/>
    <mergeCell ref="AF67:AO67"/>
    <mergeCell ref="V68:AB68"/>
    <mergeCell ref="H67:L67"/>
    <mergeCell ref="AF66:AO66"/>
    <mergeCell ref="AF68:AO68"/>
    <mergeCell ref="V66:AB66"/>
    <mergeCell ref="V67:AB67"/>
    <mergeCell ref="AF69:AO69"/>
    <mergeCell ref="V69:AB69"/>
    <mergeCell ref="M69:R69"/>
    <mergeCell ref="AH36:AW36"/>
    <mergeCell ref="C36:X36"/>
    <mergeCell ref="M66:R66"/>
    <mergeCell ref="M67:R67"/>
    <mergeCell ref="M68:R68"/>
    <mergeCell ref="A66:G66"/>
    <mergeCell ref="A67:G67"/>
  </mergeCells>
  <conditionalFormatting sqref="AI49 AI47">
    <cfRule type="cellIs" priority="1" dxfId="0" operator="equal" stopIfTrue="1">
      <formula>'AR'!#REF!</formula>
    </cfRule>
  </conditionalFormatting>
  <dataValidations count="1">
    <dataValidation showInputMessage="1" showErrorMessage="1" sqref="W45 AC62:AF63 V72 Y15 G53:S53 AJ66:AK67 Y72:AA72 AJ24:AJ25 AZ61:AZ63 AK72 AF72:AH72 AK46:AK47 T51:W51 AU66:AX66 AQ66 X66:AC66 T66:U66 X26 AP62:AU62 AD61:AF61 U68 U64 X67:AB67"/>
  </dataValidations>
  <hyperlinks>
    <hyperlink ref="C2:G2" location="Order!A1" display="أختيار أللغة"/>
    <hyperlink ref="C7" r:id="rId1" display="www.hydroware.com"/>
  </hyperlinks>
  <printOptions/>
  <pageMargins left="0.1968503937007874" right="0.1968503937007874" top="0.1968503937007874" bottom="0" header="0.31496062992125984" footer="0.118110236220472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GMV Sweden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</dc:creator>
  <cp:keywords/>
  <dc:description/>
  <cp:lastModifiedBy>Henrik Skoog</cp:lastModifiedBy>
  <cp:lastPrinted>2015-01-16T14:41:00Z</cp:lastPrinted>
  <dcterms:created xsi:type="dcterms:W3CDTF">2006-11-14T08:40:13Z</dcterms:created>
  <dcterms:modified xsi:type="dcterms:W3CDTF">2016-11-29T10:11:33Z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